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honores\OneDrive - GORECOQUIMBO\Escritorio\Unidad de Control\MODELO DE INFORMES\Informe preliminar Trimestral\Año 2021\Informe y presentación Cuarto Semestre\"/>
    </mc:Choice>
  </mc:AlternateContent>
  <xr:revisionPtr revIDLastSave="0" documentId="13_ncr:1_{254EEF91-7FC4-4466-AB0B-A4ACF698151F}" xr6:coauthVersionLast="47" xr6:coauthVersionMax="47" xr10:uidLastSave="{00000000-0000-0000-0000-000000000000}"/>
  <bookViews>
    <workbookView xWindow="-110" yWindow="-110" windowWidth="19420" windowHeight="10420" activeTab="6" xr2:uid="{00000000-000D-0000-FFFF-FFFF00000000}"/>
  </bookViews>
  <sheets>
    <sheet name="DICIEMBRE 2021" sheetId="91" r:id="rId1"/>
    <sheet name="NOVIEMBRE 2021" sheetId="90" r:id="rId2"/>
    <sheet name="OCTUBRE 2021" sheetId="89" r:id="rId3"/>
    <sheet name="SEPTIEMBRE 2021" sheetId="88" r:id="rId4"/>
    <sheet name="AGOSTO 2021" sheetId="87" r:id="rId5"/>
    <sheet name="JULIO 2021" sheetId="86" r:id="rId6"/>
    <sheet name="JUNIO 2021" sheetId="85" r:id="rId7"/>
    <sheet name="MAYO 2021" sheetId="84" r:id="rId8"/>
    <sheet name="ABRIL 2021" sheetId="83" r:id="rId9"/>
    <sheet name="MARZO2021" sheetId="82" r:id="rId10"/>
    <sheet name="FEBRERO2021" sheetId="81" r:id="rId11"/>
    <sheet name="ENERO2021" sheetId="67" r:id="rId12"/>
    <sheet name="COMPARADOS" sheetId="48" state="hidden" r:id="rId13"/>
    <sheet name="graficos" sheetId="58" state="hidden" r:id="rId14"/>
  </sheets>
  <externalReferences>
    <externalReference r:id="rId15"/>
    <externalReference r:id="rId16"/>
  </externalReferences>
  <definedNames>
    <definedName name="\a" localSheetId="8">#REF!</definedName>
    <definedName name="\a" localSheetId="4">#REF!</definedName>
    <definedName name="\a" localSheetId="0">#REF!</definedName>
    <definedName name="\a" localSheetId="11">#REF!</definedName>
    <definedName name="\a" localSheetId="10">#REF!</definedName>
    <definedName name="\a" localSheetId="5">#REF!</definedName>
    <definedName name="\a" localSheetId="6">#REF!</definedName>
    <definedName name="\a" localSheetId="9">#REF!</definedName>
    <definedName name="\a" localSheetId="7">#REF!</definedName>
    <definedName name="\a" localSheetId="1">#REF!</definedName>
    <definedName name="\a" localSheetId="2">#REF!</definedName>
    <definedName name="\a" localSheetId="3">#REF!</definedName>
    <definedName name="\a">#REF!</definedName>
    <definedName name="\x" localSheetId="8">'[1]64-95'!#REF!</definedName>
    <definedName name="\x" localSheetId="4">'[1]64-95'!#REF!</definedName>
    <definedName name="\x" localSheetId="0">'[1]64-95'!#REF!</definedName>
    <definedName name="\x" localSheetId="11">'[1]64-95'!#REF!</definedName>
    <definedName name="\x" localSheetId="10">'[1]64-95'!#REF!</definedName>
    <definedName name="\x" localSheetId="5">'[1]64-95'!#REF!</definedName>
    <definedName name="\x" localSheetId="6">'[1]64-95'!#REF!</definedName>
    <definedName name="\x" localSheetId="9">'[1]64-95'!#REF!</definedName>
    <definedName name="\x" localSheetId="7">'[1]64-95'!#REF!</definedName>
    <definedName name="\x" localSheetId="1">'[1]64-95'!#REF!</definedName>
    <definedName name="\x" localSheetId="2">'[1]64-95'!#REF!</definedName>
    <definedName name="\x" localSheetId="3">'[1]64-95'!#REF!</definedName>
    <definedName name="\x">'[1]64-95'!#REF!</definedName>
    <definedName name="\z" localSheetId="8">'[1]64-95'!#REF!</definedName>
    <definedName name="\z" localSheetId="4">'[1]64-95'!#REF!</definedName>
    <definedName name="\z" localSheetId="0">'[1]64-95'!#REF!</definedName>
    <definedName name="\z" localSheetId="11">'[1]64-95'!#REF!</definedName>
    <definedName name="\z" localSheetId="10">'[1]64-95'!#REF!</definedName>
    <definedName name="\z" localSheetId="5">'[1]64-95'!#REF!</definedName>
    <definedName name="\z" localSheetId="6">'[1]64-95'!#REF!</definedName>
    <definedName name="\z" localSheetId="9">'[1]64-95'!#REF!</definedName>
    <definedName name="\z" localSheetId="7">'[1]64-95'!#REF!</definedName>
    <definedName name="\z" localSheetId="1">'[1]64-95'!#REF!</definedName>
    <definedName name="\z" localSheetId="2">'[1]64-95'!#REF!</definedName>
    <definedName name="\z" localSheetId="3">'[1]64-95'!#REF!</definedName>
    <definedName name="\z">'[1]64-95'!#REF!</definedName>
    <definedName name="_xlnm.Print_Area" localSheetId="8">'ABRIL 2021'!$A$1:$L$41</definedName>
    <definedName name="_xlnm.Print_Area" localSheetId="4">'AGOSTO 2021'!$A$1:$P$41</definedName>
    <definedName name="_xlnm.Print_Area" localSheetId="12">COMPARADOS!$A$1:$M$175</definedName>
    <definedName name="_xlnm.Print_Area" localSheetId="0">'DICIEMBRE 2021'!$A$1:$T$40</definedName>
    <definedName name="_xlnm.Print_Area" localSheetId="11">ENERO2021!$A$1:$T$43</definedName>
    <definedName name="_xlnm.Print_Area" localSheetId="10">FEBRERO2021!$A$1:$T$42</definedName>
    <definedName name="_xlnm.Print_Area" localSheetId="5">'JULIO 2021'!$A$1:$O$40</definedName>
    <definedName name="_xlnm.Print_Area" localSheetId="6">'JUNIO 2021'!$A$1:$N$40</definedName>
    <definedName name="_xlnm.Print_Area" localSheetId="9">MARZO2021!$A$1:$U$41</definedName>
    <definedName name="_xlnm.Print_Area" localSheetId="7">'MAYO 2021'!$A$1:$M$40</definedName>
    <definedName name="_xlnm.Print_Area" localSheetId="1">'NOVIEMBRE 2021'!$A$1:$S$39</definedName>
    <definedName name="_xlnm.Print_Area" localSheetId="2">'OCTUBRE 2021'!$A$1:$R$40</definedName>
    <definedName name="_xlnm.Print_Area" localSheetId="3">'SEPTIEMBRE 2021'!$A$1:$Q$39</definedName>
    <definedName name="AREAS">[2]PARAMETROS!$A$6:$B$15</definedName>
    <definedName name="CONSULTA_EXPORTACION" localSheetId="8">#REF!</definedName>
    <definedName name="CONSULTA_EXPORTACION" localSheetId="4">#REF!</definedName>
    <definedName name="CONSULTA_EXPORTACION" localSheetId="0">#REF!</definedName>
    <definedName name="CONSULTA_EXPORTACION" localSheetId="11">#REF!</definedName>
    <definedName name="CONSULTA_EXPORTACION" localSheetId="10">#REF!</definedName>
    <definedName name="CONSULTA_EXPORTACION" localSheetId="5">#REF!</definedName>
    <definedName name="CONSULTA_EXPORTACION" localSheetId="6">#REF!</definedName>
    <definedName name="CONSULTA_EXPORTACION" localSheetId="9">#REF!</definedName>
    <definedName name="CONSULTA_EXPORTACION" localSheetId="7">#REF!</definedName>
    <definedName name="CONSULTA_EXPORTACION" localSheetId="1">#REF!</definedName>
    <definedName name="CONSULTA_EXPORTACION" localSheetId="2">#REF!</definedName>
    <definedName name="CONSULTA_EXPORTACION" localSheetId="3">#REF!</definedName>
    <definedName name="CONSULTA_EXPORTACION">#REF!</definedName>
    <definedName name="NUEVO" localSheetId="8">'[1]64-95'!#REF!</definedName>
    <definedName name="NUEVO" localSheetId="4">'[1]64-95'!#REF!</definedName>
    <definedName name="NUEVO" localSheetId="0">'[1]64-95'!#REF!</definedName>
    <definedName name="NUEVO" localSheetId="11">'[1]64-95'!#REF!</definedName>
    <definedName name="NUEVO" localSheetId="10">'[1]64-95'!#REF!</definedName>
    <definedName name="NUEVO" localSheetId="5">'[1]64-95'!#REF!</definedName>
    <definedName name="NUEVO" localSheetId="6">'[1]64-95'!#REF!</definedName>
    <definedName name="NUEVO" localSheetId="9">'[1]64-95'!#REF!</definedName>
    <definedName name="NUEVO" localSheetId="7">'[1]64-95'!#REF!</definedName>
    <definedName name="NUEVO" localSheetId="1">'[1]64-95'!#REF!</definedName>
    <definedName name="NUEVO" localSheetId="2">'[1]64-95'!#REF!</definedName>
    <definedName name="NUEVO" localSheetId="3">'[1]64-95'!#REF!</definedName>
    <definedName name="NUEVO">'[1]64-95'!#REF!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91" l="1"/>
  <c r="P32" i="91" s="1"/>
  <c r="P6" i="91"/>
  <c r="P14" i="91" s="1"/>
  <c r="S36" i="91"/>
  <c r="R36" i="91"/>
  <c r="G32" i="91"/>
  <c r="R31" i="91"/>
  <c r="E31" i="91"/>
  <c r="R29" i="91"/>
  <c r="T29" i="91" s="1"/>
  <c r="D29" i="91"/>
  <c r="T28" i="91"/>
  <c r="F27" i="91"/>
  <c r="R27" i="91" s="1"/>
  <c r="D27" i="91"/>
  <c r="F26" i="91"/>
  <c r="R26" i="91" s="1"/>
  <c r="D26" i="91"/>
  <c r="F25" i="91"/>
  <c r="R25" i="91" s="1"/>
  <c r="T25" i="91" s="1"/>
  <c r="D25" i="91"/>
  <c r="F24" i="91"/>
  <c r="R24" i="91" s="1"/>
  <c r="E24" i="91"/>
  <c r="D24" i="91"/>
  <c r="F23" i="91"/>
  <c r="R23" i="91" s="1"/>
  <c r="E23" i="91"/>
  <c r="E22" i="91" s="1"/>
  <c r="D23" i="91"/>
  <c r="Q22" i="91"/>
  <c r="Q32" i="91" s="1"/>
  <c r="O22" i="91"/>
  <c r="O32" i="91" s="1"/>
  <c r="N22" i="91"/>
  <c r="N32" i="91" s="1"/>
  <c r="M22" i="91"/>
  <c r="M32" i="91" s="1"/>
  <c r="L22" i="91"/>
  <c r="L32" i="91" s="1"/>
  <c r="K22" i="91"/>
  <c r="K32" i="91" s="1"/>
  <c r="J22" i="91"/>
  <c r="J32" i="91" s="1"/>
  <c r="I22" i="91"/>
  <c r="I32" i="91" s="1"/>
  <c r="H22" i="91"/>
  <c r="H32" i="91" s="1"/>
  <c r="F21" i="91"/>
  <c r="R21" i="91" s="1"/>
  <c r="E21" i="91"/>
  <c r="D21" i="91"/>
  <c r="F20" i="91"/>
  <c r="R20" i="91" s="1"/>
  <c r="E20" i="91"/>
  <c r="D20" i="91"/>
  <c r="F19" i="91"/>
  <c r="R19" i="91" s="1"/>
  <c r="E19" i="91"/>
  <c r="D19" i="91"/>
  <c r="F18" i="91"/>
  <c r="R18" i="91" s="1"/>
  <c r="D18" i="91"/>
  <c r="F17" i="91"/>
  <c r="R17" i="91" s="1"/>
  <c r="D17" i="91"/>
  <c r="G14" i="91"/>
  <c r="R13" i="91"/>
  <c r="S13" i="91" s="1"/>
  <c r="D13" i="91"/>
  <c r="R12" i="91"/>
  <c r="E12" i="91"/>
  <c r="D12" i="91"/>
  <c r="R11" i="91"/>
  <c r="S11" i="91" s="1"/>
  <c r="D11" i="91"/>
  <c r="F9" i="91"/>
  <c r="R9" i="91" s="1"/>
  <c r="E9" i="91"/>
  <c r="D9" i="91"/>
  <c r="F8" i="91"/>
  <c r="R8" i="91" s="1"/>
  <c r="E8" i="91"/>
  <c r="D8" i="91"/>
  <c r="F7" i="91"/>
  <c r="R7" i="91" s="1"/>
  <c r="E7" i="91"/>
  <c r="D7" i="91"/>
  <c r="Q6" i="91"/>
  <c r="Q14" i="91" s="1"/>
  <c r="O6" i="91"/>
  <c r="O14" i="91" s="1"/>
  <c r="N6" i="91"/>
  <c r="N14" i="91" s="1"/>
  <c r="M6" i="91"/>
  <c r="M14" i="91" s="1"/>
  <c r="L6" i="91"/>
  <c r="L14" i="91" s="1"/>
  <c r="K6" i="91"/>
  <c r="K14" i="91" s="1"/>
  <c r="J6" i="91"/>
  <c r="J14" i="91" s="1"/>
  <c r="I6" i="91"/>
  <c r="I14" i="91" s="1"/>
  <c r="H6" i="91"/>
  <c r="H14" i="91" s="1"/>
  <c r="F4" i="91"/>
  <c r="R4" i="91" s="1"/>
  <c r="E4" i="91"/>
  <c r="D4" i="91"/>
  <c r="F2" i="91"/>
  <c r="R2" i="91" s="1"/>
  <c r="D2" i="91"/>
  <c r="O22" i="90"/>
  <c r="O32" i="90" s="1"/>
  <c r="O6" i="90"/>
  <c r="O14" i="90" s="1"/>
  <c r="R36" i="90"/>
  <c r="Q36" i="90"/>
  <c r="G32" i="90"/>
  <c r="Q31" i="90"/>
  <c r="E31" i="90"/>
  <c r="Q29" i="90"/>
  <c r="S29" i="90" s="1"/>
  <c r="D29" i="90"/>
  <c r="S28" i="90"/>
  <c r="F27" i="90"/>
  <c r="Q27" i="90" s="1"/>
  <c r="D27" i="90"/>
  <c r="F26" i="90"/>
  <c r="Q26" i="90" s="1"/>
  <c r="S26" i="90" s="1"/>
  <c r="D26" i="90"/>
  <c r="F25" i="90"/>
  <c r="Q25" i="90" s="1"/>
  <c r="R25" i="90" s="1"/>
  <c r="D25" i="90"/>
  <c r="F24" i="90"/>
  <c r="Q24" i="90" s="1"/>
  <c r="E24" i="90"/>
  <c r="D24" i="90"/>
  <c r="F23" i="90"/>
  <c r="Q23" i="90" s="1"/>
  <c r="E23" i="90"/>
  <c r="D23" i="90"/>
  <c r="P22" i="90"/>
  <c r="P32" i="90" s="1"/>
  <c r="N22" i="90"/>
  <c r="N32" i="90" s="1"/>
  <c r="M22" i="90"/>
  <c r="M32" i="90" s="1"/>
  <c r="L22" i="90"/>
  <c r="L32" i="90" s="1"/>
  <c r="K22" i="90"/>
  <c r="K32" i="90" s="1"/>
  <c r="J22" i="90"/>
  <c r="J32" i="90" s="1"/>
  <c r="I22" i="90"/>
  <c r="I32" i="90" s="1"/>
  <c r="H22" i="90"/>
  <c r="H32" i="90" s="1"/>
  <c r="F21" i="90"/>
  <c r="Q21" i="90" s="1"/>
  <c r="E21" i="90"/>
  <c r="D21" i="90"/>
  <c r="F20" i="90"/>
  <c r="Q20" i="90" s="1"/>
  <c r="E20" i="90"/>
  <c r="D20" i="90"/>
  <c r="F19" i="90"/>
  <c r="Q19" i="90" s="1"/>
  <c r="E19" i="90"/>
  <c r="D19" i="90"/>
  <c r="F18" i="90"/>
  <c r="Q18" i="90" s="1"/>
  <c r="D18" i="90"/>
  <c r="F17" i="90"/>
  <c r="Q17" i="90" s="1"/>
  <c r="D17" i="90"/>
  <c r="G14" i="90"/>
  <c r="Q13" i="90"/>
  <c r="R13" i="90" s="1"/>
  <c r="D13" i="90"/>
  <c r="Q12" i="90"/>
  <c r="E12" i="90"/>
  <c r="D12" i="90"/>
  <c r="Q11" i="90"/>
  <c r="R11" i="90" s="1"/>
  <c r="D11" i="90"/>
  <c r="F9" i="90"/>
  <c r="E9" i="90"/>
  <c r="D9" i="90"/>
  <c r="D6" i="90" s="1"/>
  <c r="F8" i="90"/>
  <c r="Q8" i="90" s="1"/>
  <c r="E8" i="90"/>
  <c r="D8" i="90"/>
  <c r="F7" i="90"/>
  <c r="Q7" i="90" s="1"/>
  <c r="E7" i="90"/>
  <c r="D7" i="90"/>
  <c r="P6" i="90"/>
  <c r="P14" i="90" s="1"/>
  <c r="N6" i="90"/>
  <c r="N14" i="90" s="1"/>
  <c r="M6" i="90"/>
  <c r="M14" i="90" s="1"/>
  <c r="L6" i="90"/>
  <c r="L14" i="90" s="1"/>
  <c r="K6" i="90"/>
  <c r="K14" i="90" s="1"/>
  <c r="J6" i="90"/>
  <c r="J14" i="90" s="1"/>
  <c r="I6" i="90"/>
  <c r="I14" i="90" s="1"/>
  <c r="H6" i="90"/>
  <c r="H14" i="90" s="1"/>
  <c r="F4" i="90"/>
  <c r="Q4" i="90" s="1"/>
  <c r="E4" i="90"/>
  <c r="D4" i="90"/>
  <c r="F2" i="90"/>
  <c r="D2" i="90"/>
  <c r="N23" i="89"/>
  <c r="N33" i="89" s="1"/>
  <c r="N7" i="89"/>
  <c r="N15" i="89" s="1"/>
  <c r="Q37" i="89"/>
  <c r="P37" i="89"/>
  <c r="G33" i="89"/>
  <c r="P32" i="89"/>
  <c r="E32" i="89"/>
  <c r="P30" i="89"/>
  <c r="R30" i="89" s="1"/>
  <c r="D30" i="89"/>
  <c r="R29" i="89"/>
  <c r="F28" i="89"/>
  <c r="P28" i="89" s="1"/>
  <c r="D28" i="89"/>
  <c r="F27" i="89"/>
  <c r="P27" i="89" s="1"/>
  <c r="R27" i="89" s="1"/>
  <c r="D27" i="89"/>
  <c r="F26" i="89"/>
  <c r="P26" i="89" s="1"/>
  <c r="Q26" i="89" s="1"/>
  <c r="D26" i="89"/>
  <c r="F25" i="89"/>
  <c r="P25" i="89" s="1"/>
  <c r="E25" i="89"/>
  <c r="D25" i="89"/>
  <c r="F24" i="89"/>
  <c r="P24" i="89" s="1"/>
  <c r="E24" i="89"/>
  <c r="D24" i="89"/>
  <c r="O23" i="89"/>
  <c r="O33" i="89" s="1"/>
  <c r="M23" i="89"/>
  <c r="M33" i="89" s="1"/>
  <c r="L23" i="89"/>
  <c r="L33" i="89" s="1"/>
  <c r="K23" i="89"/>
  <c r="K33" i="89" s="1"/>
  <c r="J23" i="89"/>
  <c r="J33" i="89" s="1"/>
  <c r="I23" i="89"/>
  <c r="I33" i="89" s="1"/>
  <c r="H23" i="89"/>
  <c r="H33" i="89" s="1"/>
  <c r="F22" i="89"/>
  <c r="P22" i="89" s="1"/>
  <c r="E22" i="89"/>
  <c r="D22" i="89"/>
  <c r="F21" i="89"/>
  <c r="P21" i="89" s="1"/>
  <c r="E21" i="89"/>
  <c r="D21" i="89"/>
  <c r="F20" i="89"/>
  <c r="P20" i="89" s="1"/>
  <c r="E20" i="89"/>
  <c r="D20" i="89"/>
  <c r="F19" i="89"/>
  <c r="P19" i="89" s="1"/>
  <c r="D19" i="89"/>
  <c r="F18" i="89"/>
  <c r="P18" i="89" s="1"/>
  <c r="D18" i="89"/>
  <c r="G15" i="89"/>
  <c r="P14" i="89"/>
  <c r="Q14" i="89" s="1"/>
  <c r="D14" i="89"/>
  <c r="P13" i="89"/>
  <c r="E13" i="89"/>
  <c r="D13" i="89"/>
  <c r="P12" i="89"/>
  <c r="Q12" i="89" s="1"/>
  <c r="D12" i="89"/>
  <c r="F10" i="89"/>
  <c r="P10" i="89" s="1"/>
  <c r="E10" i="89"/>
  <c r="D10" i="89"/>
  <c r="F9" i="89"/>
  <c r="P9" i="89" s="1"/>
  <c r="E9" i="89"/>
  <c r="D9" i="89"/>
  <c r="F8" i="89"/>
  <c r="E8" i="89"/>
  <c r="D8" i="89"/>
  <c r="O7" i="89"/>
  <c r="O15" i="89" s="1"/>
  <c r="M7" i="89"/>
  <c r="M15" i="89" s="1"/>
  <c r="L7" i="89"/>
  <c r="L15" i="89" s="1"/>
  <c r="K7" i="89"/>
  <c r="K15" i="89" s="1"/>
  <c r="J7" i="89"/>
  <c r="J15" i="89" s="1"/>
  <c r="I7" i="89"/>
  <c r="I15" i="89" s="1"/>
  <c r="H7" i="89"/>
  <c r="H15" i="89" s="1"/>
  <c r="F5" i="89"/>
  <c r="P5" i="89" s="1"/>
  <c r="E5" i="89"/>
  <c r="D5" i="89"/>
  <c r="F3" i="89"/>
  <c r="D3" i="89"/>
  <c r="M23" i="88"/>
  <c r="M33" i="88" s="1"/>
  <c r="M7" i="88"/>
  <c r="M15" i="88" s="1"/>
  <c r="P37" i="88"/>
  <c r="O37" i="88"/>
  <c r="G33" i="88"/>
  <c r="O32" i="88"/>
  <c r="E32" i="88"/>
  <c r="O30" i="88"/>
  <c r="Q30" i="88" s="1"/>
  <c r="D30" i="88"/>
  <c r="Q29" i="88"/>
  <c r="F28" i="88"/>
  <c r="O28" i="88" s="1"/>
  <c r="E28" i="88"/>
  <c r="D28" i="88"/>
  <c r="F27" i="88"/>
  <c r="O27" i="88" s="1"/>
  <c r="E27" i="88"/>
  <c r="D27" i="88"/>
  <c r="F26" i="88"/>
  <c r="O26" i="88" s="1"/>
  <c r="D26" i="88"/>
  <c r="F25" i="88"/>
  <c r="E25" i="88"/>
  <c r="D25" i="88"/>
  <c r="F24" i="88"/>
  <c r="O24" i="88" s="1"/>
  <c r="E24" i="88"/>
  <c r="D24" i="88"/>
  <c r="N23" i="88"/>
  <c r="N33" i="88" s="1"/>
  <c r="L23" i="88"/>
  <c r="L33" i="88" s="1"/>
  <c r="K23" i="88"/>
  <c r="K33" i="88" s="1"/>
  <c r="J23" i="88"/>
  <c r="J33" i="88" s="1"/>
  <c r="I23" i="88"/>
  <c r="I33" i="88" s="1"/>
  <c r="H23" i="88"/>
  <c r="H33" i="88" s="1"/>
  <c r="F22" i="88"/>
  <c r="O22" i="88" s="1"/>
  <c r="E22" i="88"/>
  <c r="D22" i="88"/>
  <c r="F21" i="88"/>
  <c r="O21" i="88" s="1"/>
  <c r="E21" i="88"/>
  <c r="D21" i="88"/>
  <c r="F20" i="88"/>
  <c r="O20" i="88" s="1"/>
  <c r="E20" i="88"/>
  <c r="D20" i="88"/>
  <c r="F19" i="88"/>
  <c r="O19" i="88" s="1"/>
  <c r="Q19" i="88" s="1"/>
  <c r="D19" i="88"/>
  <c r="F18" i="88"/>
  <c r="O18" i="88" s="1"/>
  <c r="D18" i="88"/>
  <c r="G15" i="88"/>
  <c r="O14" i="88"/>
  <c r="P14" i="88" s="1"/>
  <c r="D14" i="88"/>
  <c r="O13" i="88"/>
  <c r="E13" i="88"/>
  <c r="D13" i="88"/>
  <c r="O12" i="88"/>
  <c r="P12" i="88" s="1"/>
  <c r="D12" i="88"/>
  <c r="F10" i="88"/>
  <c r="O10" i="88" s="1"/>
  <c r="E10" i="88"/>
  <c r="D10" i="88"/>
  <c r="F9" i="88"/>
  <c r="O9" i="88" s="1"/>
  <c r="E9" i="88"/>
  <c r="D9" i="88"/>
  <c r="F8" i="88"/>
  <c r="O8" i="88" s="1"/>
  <c r="E8" i="88"/>
  <c r="D8" i="88"/>
  <c r="N7" i="88"/>
  <c r="N15" i="88" s="1"/>
  <c r="L7" i="88"/>
  <c r="L15" i="88" s="1"/>
  <c r="K7" i="88"/>
  <c r="K15" i="88" s="1"/>
  <c r="J7" i="88"/>
  <c r="J15" i="88" s="1"/>
  <c r="I7" i="88"/>
  <c r="I15" i="88" s="1"/>
  <c r="H7" i="88"/>
  <c r="H15" i="88" s="1"/>
  <c r="F5" i="88"/>
  <c r="O5" i="88" s="1"/>
  <c r="E5" i="88"/>
  <c r="D5" i="88"/>
  <c r="F3" i="88"/>
  <c r="O3" i="88" s="1"/>
  <c r="D3" i="88"/>
  <c r="L23" i="87"/>
  <c r="L33" i="87" s="1"/>
  <c r="L7" i="87"/>
  <c r="L15" i="87" s="1"/>
  <c r="O37" i="87"/>
  <c r="N37" i="87"/>
  <c r="G33" i="87"/>
  <c r="N32" i="87"/>
  <c r="E32" i="87"/>
  <c r="N30" i="87"/>
  <c r="O30" i="87" s="1"/>
  <c r="D30" i="87"/>
  <c r="P29" i="87"/>
  <c r="F28" i="87"/>
  <c r="N28" i="87" s="1"/>
  <c r="E28" i="87"/>
  <c r="D28" i="87"/>
  <c r="F27" i="87"/>
  <c r="N27" i="87" s="1"/>
  <c r="E27" i="87"/>
  <c r="D27" i="87"/>
  <c r="F26" i="87"/>
  <c r="N26" i="87" s="1"/>
  <c r="D26" i="87"/>
  <c r="F25" i="87"/>
  <c r="N25" i="87" s="1"/>
  <c r="E25" i="87"/>
  <c r="D25" i="87"/>
  <c r="F24" i="87"/>
  <c r="N24" i="87" s="1"/>
  <c r="E24" i="87"/>
  <c r="D24" i="87"/>
  <c r="M23" i="87"/>
  <c r="M33" i="87" s="1"/>
  <c r="K23" i="87"/>
  <c r="K33" i="87" s="1"/>
  <c r="J23" i="87"/>
  <c r="J33" i="87" s="1"/>
  <c r="I23" i="87"/>
  <c r="I33" i="87" s="1"/>
  <c r="H23" i="87"/>
  <c r="H33" i="87" s="1"/>
  <c r="F22" i="87"/>
  <c r="N22" i="87" s="1"/>
  <c r="E22" i="87"/>
  <c r="D22" i="87"/>
  <c r="F21" i="87"/>
  <c r="N21" i="87" s="1"/>
  <c r="E21" i="87"/>
  <c r="D21" i="87"/>
  <c r="F20" i="87"/>
  <c r="N20" i="87" s="1"/>
  <c r="E20" i="87"/>
  <c r="D20" i="87"/>
  <c r="F19" i="87"/>
  <c r="N19" i="87" s="1"/>
  <c r="P19" i="87" s="1"/>
  <c r="D19" i="87"/>
  <c r="F18" i="87"/>
  <c r="N18" i="87" s="1"/>
  <c r="O18" i="87" s="1"/>
  <c r="D18" i="87"/>
  <c r="G15" i="87"/>
  <c r="N14" i="87"/>
  <c r="O14" i="87" s="1"/>
  <c r="D14" i="87"/>
  <c r="N13" i="87"/>
  <c r="E13" i="87"/>
  <c r="D13" i="87"/>
  <c r="N12" i="87"/>
  <c r="O12" i="87" s="1"/>
  <c r="D12" i="87"/>
  <c r="F10" i="87"/>
  <c r="N10" i="87" s="1"/>
  <c r="E10" i="87"/>
  <c r="D10" i="87"/>
  <c r="F9" i="87"/>
  <c r="N9" i="87" s="1"/>
  <c r="E9" i="87"/>
  <c r="D9" i="87"/>
  <c r="F8" i="87"/>
  <c r="E8" i="87"/>
  <c r="D8" i="87"/>
  <c r="M7" i="87"/>
  <c r="M15" i="87" s="1"/>
  <c r="K7" i="87"/>
  <c r="K15" i="87" s="1"/>
  <c r="J7" i="87"/>
  <c r="J15" i="87" s="1"/>
  <c r="I7" i="87"/>
  <c r="I15" i="87" s="1"/>
  <c r="H7" i="87"/>
  <c r="H15" i="87" s="1"/>
  <c r="F5" i="87"/>
  <c r="N5" i="87" s="1"/>
  <c r="E5" i="87"/>
  <c r="D5" i="87"/>
  <c r="F3" i="87"/>
  <c r="D3" i="87"/>
  <c r="L7" i="86"/>
  <c r="L15" i="86" s="1"/>
  <c r="L23" i="86"/>
  <c r="L33" i="86" s="1"/>
  <c r="M14" i="86"/>
  <c r="N14" i="86" s="1"/>
  <c r="M13" i="86"/>
  <c r="M12" i="86"/>
  <c r="N12" i="86" s="1"/>
  <c r="M30" i="86"/>
  <c r="O30" i="86" s="1"/>
  <c r="M32" i="86"/>
  <c r="N37" i="86"/>
  <c r="M37" i="86"/>
  <c r="G33" i="86"/>
  <c r="E32" i="86"/>
  <c r="D30" i="86"/>
  <c r="O29" i="86"/>
  <c r="F28" i="86"/>
  <c r="M28" i="86" s="1"/>
  <c r="E28" i="86"/>
  <c r="D28" i="86"/>
  <c r="F27" i="86"/>
  <c r="M27" i="86" s="1"/>
  <c r="E27" i="86"/>
  <c r="D27" i="86"/>
  <c r="F26" i="86"/>
  <c r="M26" i="86" s="1"/>
  <c r="D26" i="86"/>
  <c r="F25" i="86"/>
  <c r="M25" i="86" s="1"/>
  <c r="E25" i="86"/>
  <c r="D25" i="86"/>
  <c r="F24" i="86"/>
  <c r="M24" i="86" s="1"/>
  <c r="E24" i="86"/>
  <c r="D24" i="86"/>
  <c r="K23" i="86"/>
  <c r="K33" i="86" s="1"/>
  <c r="J23" i="86"/>
  <c r="J33" i="86" s="1"/>
  <c r="I23" i="86"/>
  <c r="I33" i="86" s="1"/>
  <c r="H23" i="86"/>
  <c r="H33" i="86" s="1"/>
  <c r="F22" i="86"/>
  <c r="M22" i="86" s="1"/>
  <c r="E22" i="86"/>
  <c r="D22" i="86"/>
  <c r="F21" i="86"/>
  <c r="M21" i="86" s="1"/>
  <c r="E21" i="86"/>
  <c r="D21" i="86"/>
  <c r="F20" i="86"/>
  <c r="M20" i="86" s="1"/>
  <c r="E20" i="86"/>
  <c r="D20" i="86"/>
  <c r="F19" i="86"/>
  <c r="M19" i="86" s="1"/>
  <c r="D19" i="86"/>
  <c r="F18" i="86"/>
  <c r="M18" i="86" s="1"/>
  <c r="D18" i="86"/>
  <c r="G15" i="86"/>
  <c r="D14" i="86"/>
  <c r="E13" i="86"/>
  <c r="D13" i="86"/>
  <c r="D12" i="86"/>
  <c r="F10" i="86"/>
  <c r="M10" i="86" s="1"/>
  <c r="E10" i="86"/>
  <c r="D10" i="86"/>
  <c r="F9" i="86"/>
  <c r="M9" i="86" s="1"/>
  <c r="E9" i="86"/>
  <c r="D9" i="86"/>
  <c r="F8" i="86"/>
  <c r="M8" i="86" s="1"/>
  <c r="E8" i="86"/>
  <c r="D8" i="86"/>
  <c r="K7" i="86"/>
  <c r="K15" i="86" s="1"/>
  <c r="J7" i="86"/>
  <c r="J15" i="86" s="1"/>
  <c r="I7" i="86"/>
  <c r="I15" i="86" s="1"/>
  <c r="H7" i="86"/>
  <c r="H15" i="86" s="1"/>
  <c r="F5" i="86"/>
  <c r="M5" i="86" s="1"/>
  <c r="E5" i="86"/>
  <c r="D5" i="86"/>
  <c r="F3" i="86"/>
  <c r="M3" i="86" s="1"/>
  <c r="D3" i="86"/>
  <c r="E7" i="88" l="1"/>
  <c r="E15" i="88" s="1"/>
  <c r="S4" i="91"/>
  <c r="S21" i="90"/>
  <c r="E22" i="90"/>
  <c r="E32" i="90" s="1"/>
  <c r="M33" i="90" s="1"/>
  <c r="R12" i="90"/>
  <c r="Q27" i="88"/>
  <c r="Q21" i="88"/>
  <c r="D7" i="88"/>
  <c r="D15" i="88" s="1"/>
  <c r="R7" i="90"/>
  <c r="R20" i="89"/>
  <c r="D7" i="86"/>
  <c r="P27" i="87"/>
  <c r="D23" i="87"/>
  <c r="D33" i="87" s="1"/>
  <c r="D7" i="87"/>
  <c r="D15" i="87" s="1"/>
  <c r="Q20" i="88"/>
  <c r="Q24" i="88"/>
  <c r="D23" i="89"/>
  <c r="D33" i="89" s="1"/>
  <c r="D7" i="89"/>
  <c r="D15" i="89" s="1"/>
  <c r="R22" i="89"/>
  <c r="Q10" i="89"/>
  <c r="F7" i="89"/>
  <c r="P7" i="89" s="1"/>
  <c r="P8" i="89"/>
  <c r="Q8" i="89" s="1"/>
  <c r="E6" i="90"/>
  <c r="S23" i="90"/>
  <c r="T19" i="91"/>
  <c r="D6" i="91"/>
  <c r="D14" i="91" s="1"/>
  <c r="T24" i="91"/>
  <c r="T21" i="91"/>
  <c r="E6" i="91"/>
  <c r="E14" i="91" s="1"/>
  <c r="D22" i="91"/>
  <c r="D32" i="91" s="1"/>
  <c r="S20" i="91"/>
  <c r="S18" i="91"/>
  <c r="T18" i="91"/>
  <c r="S7" i="91"/>
  <c r="S29" i="91"/>
  <c r="T20" i="91"/>
  <c r="F6" i="91"/>
  <c r="R6" i="91" s="1"/>
  <c r="R14" i="91" s="1"/>
  <c r="E32" i="91"/>
  <c r="G33" i="91" s="1"/>
  <c r="S12" i="91"/>
  <c r="S9" i="91"/>
  <c r="S19" i="91"/>
  <c r="S2" i="91"/>
  <c r="T17" i="91"/>
  <c r="S17" i="91"/>
  <c r="T23" i="91"/>
  <c r="S23" i="91"/>
  <c r="T26" i="91"/>
  <c r="S26" i="91"/>
  <c r="S24" i="91"/>
  <c r="S27" i="91"/>
  <c r="T27" i="91"/>
  <c r="F22" i="91"/>
  <c r="S21" i="91"/>
  <c r="S25" i="91"/>
  <c r="D14" i="90"/>
  <c r="D22" i="90"/>
  <c r="D32" i="90" s="1"/>
  <c r="S19" i="90"/>
  <c r="R26" i="90"/>
  <c r="R4" i="90"/>
  <c r="E14" i="90"/>
  <c r="S17" i="90"/>
  <c r="R17" i="90"/>
  <c r="S25" i="90"/>
  <c r="Q2" i="90"/>
  <c r="F6" i="90"/>
  <c r="Q6" i="90" s="1"/>
  <c r="Q9" i="90"/>
  <c r="R9" i="90" s="1"/>
  <c r="R6" i="90" s="1"/>
  <c r="S20" i="90"/>
  <c r="R20" i="90"/>
  <c r="R21" i="90"/>
  <c r="S24" i="90"/>
  <c r="R24" i="90"/>
  <c r="S18" i="90"/>
  <c r="R18" i="90"/>
  <c r="R19" i="90"/>
  <c r="F22" i="90"/>
  <c r="R23" i="90"/>
  <c r="S27" i="90"/>
  <c r="R27" i="90"/>
  <c r="R29" i="90"/>
  <c r="R21" i="89"/>
  <c r="Q25" i="89"/>
  <c r="R19" i="89"/>
  <c r="Q19" i="89"/>
  <c r="E7" i="89"/>
  <c r="E15" i="89" s="1"/>
  <c r="Q24" i="89"/>
  <c r="Q5" i="89"/>
  <c r="Q21" i="89"/>
  <c r="Q27" i="89"/>
  <c r="F23" i="89"/>
  <c r="P23" i="89" s="1"/>
  <c r="P33" i="89" s="1"/>
  <c r="R25" i="89"/>
  <c r="R26" i="89"/>
  <c r="Q18" i="89"/>
  <c r="R18" i="89"/>
  <c r="Q28" i="89"/>
  <c r="R28" i="89"/>
  <c r="Q20" i="89"/>
  <c r="Q22" i="89"/>
  <c r="Q30" i="89"/>
  <c r="P3" i="89"/>
  <c r="R24" i="89"/>
  <c r="E23" i="89"/>
  <c r="E33" i="89" s="1"/>
  <c r="N34" i="89" s="1"/>
  <c r="P8" i="88"/>
  <c r="P22" i="88"/>
  <c r="D23" i="88"/>
  <c r="D33" i="88" s="1"/>
  <c r="Q22" i="88"/>
  <c r="F23" i="88"/>
  <c r="F33" i="88" s="1"/>
  <c r="Q18" i="88"/>
  <c r="P18" i="88"/>
  <c r="Q26" i="88"/>
  <c r="P26" i="88"/>
  <c r="P10" i="88"/>
  <c r="P20" i="88"/>
  <c r="P27" i="88"/>
  <c r="Q28" i="88"/>
  <c r="P28" i="88"/>
  <c r="P3" i="88"/>
  <c r="F7" i="88"/>
  <c r="O7" i="88" s="1"/>
  <c r="O15" i="88" s="1"/>
  <c r="P19" i="88"/>
  <c r="P21" i="88"/>
  <c r="P24" i="88"/>
  <c r="P30" i="88"/>
  <c r="P5" i="88"/>
  <c r="E23" i="88"/>
  <c r="E33" i="88" s="1"/>
  <c r="M34" i="88" s="1"/>
  <c r="O25" i="88"/>
  <c r="Q25" i="88" s="1"/>
  <c r="P21" i="87"/>
  <c r="P24" i="87"/>
  <c r="P30" i="87"/>
  <c r="P28" i="87"/>
  <c r="O28" i="87"/>
  <c r="N3" i="87"/>
  <c r="F7" i="87"/>
  <c r="N7" i="87" s="1"/>
  <c r="N8" i="87"/>
  <c r="O8" i="87" s="1"/>
  <c r="O19" i="87"/>
  <c r="P22" i="87"/>
  <c r="O22" i="87"/>
  <c r="P20" i="87"/>
  <c r="O20" i="87"/>
  <c r="O21" i="87"/>
  <c r="O24" i="87"/>
  <c r="E23" i="87"/>
  <c r="E33" i="87" s="1"/>
  <c r="I34" i="87" s="1"/>
  <c r="P26" i="87"/>
  <c r="O26" i="87"/>
  <c r="O27" i="87"/>
  <c r="O5" i="87"/>
  <c r="O10" i="87"/>
  <c r="E7" i="87"/>
  <c r="E15" i="87" s="1"/>
  <c r="P18" i="87"/>
  <c r="P25" i="87"/>
  <c r="O25" i="87"/>
  <c r="F23" i="87"/>
  <c r="D23" i="86"/>
  <c r="D33" i="86" s="1"/>
  <c r="E23" i="86"/>
  <c r="E33" i="86" s="1"/>
  <c r="G34" i="86" s="1"/>
  <c r="N18" i="86"/>
  <c r="N5" i="86"/>
  <c r="N26" i="86"/>
  <c r="O22" i="86"/>
  <c r="O20" i="86"/>
  <c r="O24" i="86"/>
  <c r="O28" i="86"/>
  <c r="N30" i="86"/>
  <c r="D15" i="86"/>
  <c r="O18" i="86"/>
  <c r="O26" i="86"/>
  <c r="O27" i="86"/>
  <c r="N27" i="86"/>
  <c r="F7" i="86"/>
  <c r="M7" i="86" s="1"/>
  <c r="N8" i="86"/>
  <c r="O21" i="86"/>
  <c r="N21" i="86"/>
  <c r="N22" i="86"/>
  <c r="O25" i="86"/>
  <c r="N25" i="86"/>
  <c r="N10" i="86"/>
  <c r="E7" i="86"/>
  <c r="E15" i="86" s="1"/>
  <c r="O19" i="86"/>
  <c r="N19" i="86"/>
  <c r="N20" i="86"/>
  <c r="F23" i="86"/>
  <c r="M23" i="86" s="1"/>
  <c r="M33" i="86" s="1"/>
  <c r="N24" i="86"/>
  <c r="N28" i="86"/>
  <c r="J23" i="85"/>
  <c r="J33" i="85" s="1"/>
  <c r="J7" i="85"/>
  <c r="J15" i="85" s="1"/>
  <c r="M37" i="85"/>
  <c r="L37" i="85"/>
  <c r="G33" i="85"/>
  <c r="L32" i="85"/>
  <c r="E32" i="85"/>
  <c r="L30" i="85"/>
  <c r="D30" i="85"/>
  <c r="N29" i="85"/>
  <c r="F28" i="85"/>
  <c r="L28" i="85" s="1"/>
  <c r="E28" i="85"/>
  <c r="D28" i="85"/>
  <c r="F27" i="85"/>
  <c r="L27" i="85" s="1"/>
  <c r="N27" i="85" s="1"/>
  <c r="E27" i="85"/>
  <c r="D27" i="85"/>
  <c r="F26" i="85"/>
  <c r="L26" i="85" s="1"/>
  <c r="D26" i="85"/>
  <c r="F25" i="85"/>
  <c r="L25" i="85" s="1"/>
  <c r="E25" i="85"/>
  <c r="D25" i="85"/>
  <c r="F24" i="85"/>
  <c r="L24" i="85" s="1"/>
  <c r="E24" i="85"/>
  <c r="D24" i="85"/>
  <c r="K23" i="85"/>
  <c r="K33" i="85" s="1"/>
  <c r="I23" i="85"/>
  <c r="I33" i="85" s="1"/>
  <c r="H23" i="85"/>
  <c r="H33" i="85" s="1"/>
  <c r="F22" i="85"/>
  <c r="L22" i="85" s="1"/>
  <c r="E22" i="85"/>
  <c r="D22" i="85"/>
  <c r="F21" i="85"/>
  <c r="L21" i="85" s="1"/>
  <c r="E21" i="85"/>
  <c r="D21" i="85"/>
  <c r="F20" i="85"/>
  <c r="L20" i="85" s="1"/>
  <c r="E20" i="85"/>
  <c r="D20" i="85"/>
  <c r="F19" i="85"/>
  <c r="L19" i="85" s="1"/>
  <c r="D19" i="85"/>
  <c r="F18" i="85"/>
  <c r="L18" i="85" s="1"/>
  <c r="D18" i="85"/>
  <c r="G15" i="85"/>
  <c r="L14" i="85"/>
  <c r="M14" i="85" s="1"/>
  <c r="D14" i="85"/>
  <c r="E13" i="85"/>
  <c r="D13" i="85"/>
  <c r="L12" i="85"/>
  <c r="M12" i="85" s="1"/>
  <c r="D12" i="85"/>
  <c r="F10" i="85"/>
  <c r="L10" i="85" s="1"/>
  <c r="E10" i="85"/>
  <c r="D10" i="85"/>
  <c r="F9" i="85"/>
  <c r="L9" i="85" s="1"/>
  <c r="E9" i="85"/>
  <c r="D9" i="85"/>
  <c r="F8" i="85"/>
  <c r="L8" i="85" s="1"/>
  <c r="E8" i="85"/>
  <c r="D8" i="85"/>
  <c r="K7" i="85"/>
  <c r="K15" i="85" s="1"/>
  <c r="I7" i="85"/>
  <c r="I15" i="85" s="1"/>
  <c r="H7" i="85"/>
  <c r="H15" i="85" s="1"/>
  <c r="F5" i="85"/>
  <c r="L5" i="85" s="1"/>
  <c r="E5" i="85"/>
  <c r="D5" i="85"/>
  <c r="F3" i="85"/>
  <c r="L3" i="85" s="1"/>
  <c r="M3" i="85" s="1"/>
  <c r="D3" i="85"/>
  <c r="E5" i="84"/>
  <c r="E3" i="84"/>
  <c r="E19" i="84"/>
  <c r="E28" i="84"/>
  <c r="E27" i="84"/>
  <c r="E25" i="84"/>
  <c r="E13" i="84"/>
  <c r="E18" i="84"/>
  <c r="I23" i="84"/>
  <c r="I33" i="84" s="1"/>
  <c r="I7" i="84"/>
  <c r="I15" i="84" s="1"/>
  <c r="L37" i="84"/>
  <c r="K37" i="84"/>
  <c r="G33" i="84"/>
  <c r="K32" i="84"/>
  <c r="E32" i="84"/>
  <c r="K30" i="84"/>
  <c r="D30" i="84"/>
  <c r="M29" i="84"/>
  <c r="F28" i="84"/>
  <c r="K28" i="84" s="1"/>
  <c r="D28" i="84"/>
  <c r="F27" i="84"/>
  <c r="K27" i="84" s="1"/>
  <c r="D27" i="84"/>
  <c r="F26" i="84"/>
  <c r="K26" i="84" s="1"/>
  <c r="M26" i="84" s="1"/>
  <c r="D26" i="84"/>
  <c r="F25" i="84"/>
  <c r="K25" i="84" s="1"/>
  <c r="D25" i="84"/>
  <c r="F24" i="84"/>
  <c r="K24" i="84" s="1"/>
  <c r="E24" i="84"/>
  <c r="D24" i="84"/>
  <c r="J23" i="84"/>
  <c r="J33" i="84" s="1"/>
  <c r="H23" i="84"/>
  <c r="H33" i="84" s="1"/>
  <c r="F22" i="84"/>
  <c r="K22" i="84" s="1"/>
  <c r="E22" i="84"/>
  <c r="D22" i="84"/>
  <c r="F21" i="84"/>
  <c r="K21" i="84" s="1"/>
  <c r="E21" i="84"/>
  <c r="D21" i="84"/>
  <c r="F20" i="84"/>
  <c r="K20" i="84" s="1"/>
  <c r="E20" i="84"/>
  <c r="D20" i="84"/>
  <c r="F19" i="84"/>
  <c r="K19" i="84" s="1"/>
  <c r="D19" i="84"/>
  <c r="F18" i="84"/>
  <c r="K18" i="84" s="1"/>
  <c r="D18" i="84"/>
  <c r="G15" i="84"/>
  <c r="K14" i="84"/>
  <c r="L14" i="84" s="1"/>
  <c r="D14" i="84"/>
  <c r="D13" i="84"/>
  <c r="K12" i="84"/>
  <c r="D12" i="84"/>
  <c r="F10" i="84"/>
  <c r="E10" i="84"/>
  <c r="D10" i="84"/>
  <c r="F9" i="84"/>
  <c r="K9" i="84" s="1"/>
  <c r="E9" i="84"/>
  <c r="D9" i="84"/>
  <c r="F8" i="84"/>
  <c r="K8" i="84" s="1"/>
  <c r="E8" i="84"/>
  <c r="D8" i="84"/>
  <c r="J7" i="84"/>
  <c r="J15" i="84" s="1"/>
  <c r="H7" i="84"/>
  <c r="H15" i="84" s="1"/>
  <c r="F5" i="84"/>
  <c r="K5" i="84" s="1"/>
  <c r="D5" i="84"/>
  <c r="F3" i="84"/>
  <c r="D3" i="84"/>
  <c r="J14" i="83"/>
  <c r="H23" i="83"/>
  <c r="H33" i="83" s="1"/>
  <c r="H7" i="83"/>
  <c r="H15" i="83" s="1"/>
  <c r="K37" i="83"/>
  <c r="J37" i="83"/>
  <c r="G33" i="83"/>
  <c r="J32" i="83"/>
  <c r="E32" i="83"/>
  <c r="J30" i="83"/>
  <c r="D30" i="83"/>
  <c r="E30" i="83" s="1"/>
  <c r="L29" i="83"/>
  <c r="F28" i="83"/>
  <c r="J28" i="83" s="1"/>
  <c r="E28" i="83"/>
  <c r="D28" i="83"/>
  <c r="F27" i="83"/>
  <c r="J27" i="83" s="1"/>
  <c r="E27" i="83"/>
  <c r="D27" i="83"/>
  <c r="F26" i="83"/>
  <c r="J26" i="83" s="1"/>
  <c r="E26" i="83"/>
  <c r="D26" i="83"/>
  <c r="F25" i="83"/>
  <c r="E25" i="83"/>
  <c r="D25" i="83"/>
  <c r="F24" i="83"/>
  <c r="J24" i="83" s="1"/>
  <c r="E24" i="83"/>
  <c r="D24" i="83"/>
  <c r="I23" i="83"/>
  <c r="I33" i="83" s="1"/>
  <c r="F22" i="83"/>
  <c r="J22" i="83" s="1"/>
  <c r="E22" i="83"/>
  <c r="D22" i="83"/>
  <c r="F21" i="83"/>
  <c r="J21" i="83" s="1"/>
  <c r="E21" i="83"/>
  <c r="D21" i="83"/>
  <c r="F20" i="83"/>
  <c r="J20" i="83" s="1"/>
  <c r="E20" i="83"/>
  <c r="D20" i="83"/>
  <c r="F19" i="83"/>
  <c r="J19" i="83" s="1"/>
  <c r="D19" i="83"/>
  <c r="F18" i="83"/>
  <c r="J18" i="83" s="1"/>
  <c r="E18" i="83"/>
  <c r="D18" i="83"/>
  <c r="G15" i="83"/>
  <c r="E14" i="83"/>
  <c r="D14" i="83"/>
  <c r="E13" i="83"/>
  <c r="D13" i="83"/>
  <c r="J12" i="83"/>
  <c r="E12" i="83"/>
  <c r="D12" i="83"/>
  <c r="F10" i="83"/>
  <c r="J10" i="83" s="1"/>
  <c r="E10" i="83"/>
  <c r="D10" i="83"/>
  <c r="F9" i="83"/>
  <c r="J9" i="83" s="1"/>
  <c r="E9" i="83"/>
  <c r="D9" i="83"/>
  <c r="F8" i="83"/>
  <c r="J8" i="83" s="1"/>
  <c r="E8" i="83"/>
  <c r="D8" i="83"/>
  <c r="I7" i="83"/>
  <c r="I15" i="83" s="1"/>
  <c r="F5" i="83"/>
  <c r="J5" i="83" s="1"/>
  <c r="E5" i="83"/>
  <c r="D5" i="83"/>
  <c r="F3" i="83"/>
  <c r="D3" i="83"/>
  <c r="S30" i="82"/>
  <c r="T37" i="82"/>
  <c r="S37" i="82"/>
  <c r="G15" i="82"/>
  <c r="G33" i="82"/>
  <c r="S32" i="82"/>
  <c r="E32" i="82"/>
  <c r="D30" i="82"/>
  <c r="U29" i="82"/>
  <c r="F28" i="82"/>
  <c r="S28" i="82" s="1"/>
  <c r="E28" i="82"/>
  <c r="D28" i="82"/>
  <c r="F27" i="82"/>
  <c r="S27" i="82" s="1"/>
  <c r="E27" i="82"/>
  <c r="D27" i="82"/>
  <c r="F26" i="82"/>
  <c r="S26" i="82" s="1"/>
  <c r="E26" i="82"/>
  <c r="D26" i="82"/>
  <c r="F25" i="82"/>
  <c r="S25" i="82" s="1"/>
  <c r="E25" i="82"/>
  <c r="D25" i="82"/>
  <c r="F24" i="82"/>
  <c r="S24" i="82" s="1"/>
  <c r="E24" i="82"/>
  <c r="D24" i="82"/>
  <c r="R23" i="82"/>
  <c r="R33" i="82" s="1"/>
  <c r="Q23" i="82"/>
  <c r="Q33" i="82" s="1"/>
  <c r="P23" i="82"/>
  <c r="P33" i="82" s="1"/>
  <c r="O23" i="82"/>
  <c r="O33" i="82" s="1"/>
  <c r="N23" i="82"/>
  <c r="N33" i="82" s="1"/>
  <c r="M23" i="82"/>
  <c r="M33" i="82" s="1"/>
  <c r="L23" i="82"/>
  <c r="L33" i="82" s="1"/>
  <c r="K23" i="82"/>
  <c r="K33" i="82" s="1"/>
  <c r="J23" i="82"/>
  <c r="J33" i="82" s="1"/>
  <c r="I23" i="82"/>
  <c r="I33" i="82" s="1"/>
  <c r="H23" i="82"/>
  <c r="H33" i="82" s="1"/>
  <c r="F22" i="82"/>
  <c r="S22" i="82" s="1"/>
  <c r="E22" i="82"/>
  <c r="D22" i="82"/>
  <c r="F21" i="82"/>
  <c r="S21" i="82" s="1"/>
  <c r="E21" i="82"/>
  <c r="D21" i="82"/>
  <c r="F20" i="82"/>
  <c r="S20" i="82" s="1"/>
  <c r="E20" i="82"/>
  <c r="D20" i="82"/>
  <c r="F19" i="82"/>
  <c r="S19" i="82" s="1"/>
  <c r="U19" i="82" s="1"/>
  <c r="D19" i="82"/>
  <c r="F18" i="82"/>
  <c r="S18" i="82" s="1"/>
  <c r="E18" i="82"/>
  <c r="D18" i="82"/>
  <c r="S14" i="82"/>
  <c r="E14" i="82"/>
  <c r="D14" i="82"/>
  <c r="E13" i="82"/>
  <c r="D13" i="82"/>
  <c r="S12" i="82"/>
  <c r="E12" i="82"/>
  <c r="D12" i="82"/>
  <c r="F10" i="82"/>
  <c r="S10" i="82" s="1"/>
  <c r="E10" i="82"/>
  <c r="D10" i="82"/>
  <c r="F9" i="82"/>
  <c r="S9" i="82" s="1"/>
  <c r="E9" i="82"/>
  <c r="D9" i="82"/>
  <c r="F8" i="82"/>
  <c r="S8" i="82" s="1"/>
  <c r="E8" i="82"/>
  <c r="D8" i="82"/>
  <c r="R7" i="82"/>
  <c r="R15" i="82" s="1"/>
  <c r="Q7" i="82"/>
  <c r="Q15" i="82" s="1"/>
  <c r="P7" i="82"/>
  <c r="P15" i="82" s="1"/>
  <c r="O7" i="82"/>
  <c r="O15" i="82" s="1"/>
  <c r="N7" i="82"/>
  <c r="N15" i="82" s="1"/>
  <c r="M7" i="82"/>
  <c r="M15" i="82" s="1"/>
  <c r="L7" i="82"/>
  <c r="L15" i="82" s="1"/>
  <c r="K7" i="82"/>
  <c r="K15" i="82" s="1"/>
  <c r="J7" i="82"/>
  <c r="J15" i="82" s="1"/>
  <c r="I7" i="82"/>
  <c r="I15" i="82" s="1"/>
  <c r="H7" i="82"/>
  <c r="H15" i="82" s="1"/>
  <c r="F5" i="82"/>
  <c r="S5" i="82" s="1"/>
  <c r="E5" i="82"/>
  <c r="D5" i="82"/>
  <c r="F3" i="82"/>
  <c r="S3" i="82" s="1"/>
  <c r="D3" i="82"/>
  <c r="T30" i="81"/>
  <c r="F29" i="81"/>
  <c r="F28" i="81"/>
  <c r="F27" i="81"/>
  <c r="F26" i="81"/>
  <c r="F25" i="81"/>
  <c r="F23" i="81"/>
  <c r="F22" i="81"/>
  <c r="F21" i="81"/>
  <c r="F20" i="81"/>
  <c r="F19" i="81"/>
  <c r="F10" i="81"/>
  <c r="F9" i="81"/>
  <c r="F8" i="81"/>
  <c r="F5" i="81"/>
  <c r="F3" i="81"/>
  <c r="E29" i="81"/>
  <c r="E28" i="81"/>
  <c r="E27" i="81"/>
  <c r="E26" i="81"/>
  <c r="E25" i="81"/>
  <c r="E23" i="81"/>
  <c r="E22" i="81"/>
  <c r="E21" i="81"/>
  <c r="E19" i="81"/>
  <c r="D31" i="81"/>
  <c r="D29" i="81"/>
  <c r="D28" i="81"/>
  <c r="D27" i="81"/>
  <c r="D26" i="81"/>
  <c r="D25" i="81"/>
  <c r="D23" i="81"/>
  <c r="D22" i="81"/>
  <c r="D21" i="81"/>
  <c r="D20" i="81"/>
  <c r="D19" i="81"/>
  <c r="E14" i="81"/>
  <c r="E13" i="81"/>
  <c r="E12" i="81"/>
  <c r="E10" i="81"/>
  <c r="E9" i="81"/>
  <c r="E8" i="81"/>
  <c r="E5" i="81"/>
  <c r="D14" i="81"/>
  <c r="D13" i="81"/>
  <c r="D12" i="81"/>
  <c r="D10" i="81"/>
  <c r="D9" i="81"/>
  <c r="D8" i="81"/>
  <c r="D5" i="81"/>
  <c r="D3" i="81"/>
  <c r="T30" i="67"/>
  <c r="T32" i="67"/>
  <c r="E20" i="67"/>
  <c r="E20" i="81" s="1"/>
  <c r="E3" i="67"/>
  <c r="E3" i="81" s="1"/>
  <c r="S13" i="67"/>
  <c r="E7" i="84" l="1"/>
  <c r="E15" i="84" s="1"/>
  <c r="M34" i="86"/>
  <c r="E39" i="86"/>
  <c r="F15" i="89"/>
  <c r="E23" i="85"/>
  <c r="J34" i="86"/>
  <c r="J33" i="90"/>
  <c r="M8" i="85"/>
  <c r="Q7" i="89"/>
  <c r="D7" i="82"/>
  <c r="D15" i="82" s="1"/>
  <c r="U21" i="82"/>
  <c r="U27" i="82"/>
  <c r="U25" i="82"/>
  <c r="D23" i="82"/>
  <c r="D33" i="82" s="1"/>
  <c r="T14" i="82"/>
  <c r="T8" i="82"/>
  <c r="L22" i="83"/>
  <c r="L26" i="83"/>
  <c r="L20" i="83"/>
  <c r="F7" i="84"/>
  <c r="F15" i="84" s="1"/>
  <c r="M24" i="84"/>
  <c r="M28" i="84"/>
  <c r="D23" i="84"/>
  <c r="D33" i="84" s="1"/>
  <c r="L8" i="84"/>
  <c r="K10" i="84"/>
  <c r="L10" i="84" s="1"/>
  <c r="M21" i="84"/>
  <c r="F23" i="84"/>
  <c r="F33" i="84" s="1"/>
  <c r="D7" i="84"/>
  <c r="D15" i="84" s="1"/>
  <c r="N28" i="85"/>
  <c r="M5" i="85"/>
  <c r="N22" i="85"/>
  <c r="D7" i="85"/>
  <c r="D15" i="85" s="1"/>
  <c r="N20" i="85"/>
  <c r="H34" i="86"/>
  <c r="F15" i="87"/>
  <c r="L34" i="87"/>
  <c r="O23" i="88"/>
  <c r="Q23" i="88" s="1"/>
  <c r="F33" i="89"/>
  <c r="F34" i="89" s="1"/>
  <c r="H33" i="90"/>
  <c r="O33" i="90"/>
  <c r="F14" i="91"/>
  <c r="S6" i="91"/>
  <c r="S14" i="91" s="1"/>
  <c r="P33" i="91"/>
  <c r="J33" i="91"/>
  <c r="H33" i="91"/>
  <c r="L33" i="91"/>
  <c r="I33" i="91"/>
  <c r="K33" i="91"/>
  <c r="E38" i="91"/>
  <c r="N33" i="91"/>
  <c r="Q33" i="91"/>
  <c r="O33" i="91"/>
  <c r="M33" i="91"/>
  <c r="S22" i="91"/>
  <c r="S32" i="91" s="1"/>
  <c r="R22" i="91"/>
  <c r="F32" i="91"/>
  <c r="F33" i="91" s="1"/>
  <c r="R22" i="90"/>
  <c r="R32" i="90" s="1"/>
  <c r="R34" i="90" s="1"/>
  <c r="R35" i="90" s="1"/>
  <c r="E38" i="90"/>
  <c r="N33" i="90"/>
  <c r="P33" i="90"/>
  <c r="G33" i="90"/>
  <c r="R2" i="90"/>
  <c r="R14" i="90" s="1"/>
  <c r="Q14" i="90"/>
  <c r="I33" i="90"/>
  <c r="Q22" i="90"/>
  <c r="F32" i="90"/>
  <c r="F33" i="90" s="1"/>
  <c r="K33" i="90"/>
  <c r="F14" i="90"/>
  <c r="L33" i="90"/>
  <c r="Q23" i="89"/>
  <c r="Q33" i="89" s="1"/>
  <c r="K34" i="89"/>
  <c r="L34" i="89"/>
  <c r="J34" i="89"/>
  <c r="G34" i="89"/>
  <c r="I34" i="89"/>
  <c r="O34" i="89"/>
  <c r="H34" i="89"/>
  <c r="M34" i="89"/>
  <c r="R23" i="89"/>
  <c r="P34" i="89"/>
  <c r="P35" i="89"/>
  <c r="P36" i="89" s="1"/>
  <c r="P38" i="89" s="1"/>
  <c r="R33" i="89"/>
  <c r="P15" i="89"/>
  <c r="Q3" i="89"/>
  <c r="E39" i="89"/>
  <c r="P7" i="88"/>
  <c r="P15" i="88" s="1"/>
  <c r="L34" i="88"/>
  <c r="N34" i="88"/>
  <c r="H34" i="88"/>
  <c r="K34" i="88"/>
  <c r="F15" i="88"/>
  <c r="J34" i="88"/>
  <c r="F34" i="88"/>
  <c r="I34" i="88"/>
  <c r="P25" i="88"/>
  <c r="P23" i="88" s="1"/>
  <c r="P33" i="88" s="1"/>
  <c r="E39" i="88"/>
  <c r="G34" i="88"/>
  <c r="H34" i="87"/>
  <c r="O23" i="87"/>
  <c r="O33" i="87" s="1"/>
  <c r="O35" i="87" s="1"/>
  <c r="O36" i="87" s="1"/>
  <c r="E39" i="87"/>
  <c r="O7" i="87"/>
  <c r="F33" i="87"/>
  <c r="F34" i="87" s="1"/>
  <c r="N23" i="87"/>
  <c r="N15" i="87"/>
  <c r="O3" i="87"/>
  <c r="G34" i="87"/>
  <c r="K34" i="87"/>
  <c r="M34" i="87"/>
  <c r="J34" i="87"/>
  <c r="K34" i="86"/>
  <c r="L34" i="86"/>
  <c r="I34" i="86"/>
  <c r="F15" i="86"/>
  <c r="F33" i="86"/>
  <c r="F34" i="86" s="1"/>
  <c r="N7" i="86"/>
  <c r="N3" i="86"/>
  <c r="M15" i="86"/>
  <c r="N23" i="86"/>
  <c r="N33" i="86" s="1"/>
  <c r="N34" i="86" s="1"/>
  <c r="M21" i="85"/>
  <c r="M19" i="85"/>
  <c r="N21" i="85"/>
  <c r="D23" i="85"/>
  <c r="D33" i="85" s="1"/>
  <c r="N24" i="85"/>
  <c r="M24" i="85"/>
  <c r="M26" i="85"/>
  <c r="N26" i="85"/>
  <c r="F7" i="85"/>
  <c r="L7" i="85" s="1"/>
  <c r="L15" i="85" s="1"/>
  <c r="M10" i="85"/>
  <c r="M7" i="85" s="1"/>
  <c r="E7" i="85"/>
  <c r="E15" i="85" s="1"/>
  <c r="N19" i="85"/>
  <c r="E33" i="85"/>
  <c r="I34" i="85" s="1"/>
  <c r="M30" i="85"/>
  <c r="N18" i="85"/>
  <c r="M18" i="85"/>
  <c r="N25" i="85"/>
  <c r="M25" i="85"/>
  <c r="M28" i="85"/>
  <c r="N30" i="85"/>
  <c r="M20" i="85"/>
  <c r="M22" i="85"/>
  <c r="F23" i="85"/>
  <c r="M27" i="85"/>
  <c r="M19" i="84"/>
  <c r="L12" i="84"/>
  <c r="K3" i="84"/>
  <c r="L20" i="84"/>
  <c r="L26" i="84"/>
  <c r="L28" i="84"/>
  <c r="L21" i="84"/>
  <c r="L22" i="84"/>
  <c r="L24" i="84"/>
  <c r="L25" i="84"/>
  <c r="L27" i="84"/>
  <c r="L5" i="84"/>
  <c r="M18" i="84"/>
  <c r="L18" i="84"/>
  <c r="M20" i="84"/>
  <c r="M25" i="84"/>
  <c r="M27" i="84"/>
  <c r="L19" i="84"/>
  <c r="E30" i="84"/>
  <c r="E23" i="84"/>
  <c r="M22" i="84"/>
  <c r="K10" i="83"/>
  <c r="K12" i="83"/>
  <c r="K14" i="83"/>
  <c r="F23" i="83"/>
  <c r="J23" i="83" s="1"/>
  <c r="K8" i="83"/>
  <c r="L28" i="83"/>
  <c r="K18" i="83"/>
  <c r="F7" i="83"/>
  <c r="J7" i="83" s="1"/>
  <c r="D7" i="83"/>
  <c r="D15" i="83" s="1"/>
  <c r="L24" i="83"/>
  <c r="J25" i="83"/>
  <c r="L25" i="83" s="1"/>
  <c r="L18" i="83"/>
  <c r="D23" i="83"/>
  <c r="D33" i="83" s="1"/>
  <c r="K28" i="83"/>
  <c r="K5" i="83"/>
  <c r="K26" i="83"/>
  <c r="K24" i="83"/>
  <c r="E23" i="83"/>
  <c r="E33" i="83" s="1"/>
  <c r="K30" i="83"/>
  <c r="L21" i="83"/>
  <c r="K21" i="83"/>
  <c r="K22" i="83"/>
  <c r="L30" i="83"/>
  <c r="J3" i="83"/>
  <c r="L19" i="83"/>
  <c r="K19" i="83"/>
  <c r="K20" i="83"/>
  <c r="L27" i="83"/>
  <c r="K27" i="83"/>
  <c r="E7" i="83"/>
  <c r="E15" i="83" s="1"/>
  <c r="T5" i="82"/>
  <c r="T19" i="82"/>
  <c r="T12" i="82"/>
  <c r="T27" i="82"/>
  <c r="T10" i="82"/>
  <c r="E7" i="82"/>
  <c r="E15" i="82" s="1"/>
  <c r="U18" i="82"/>
  <c r="T18" i="82"/>
  <c r="T25" i="82"/>
  <c r="E23" i="82"/>
  <c r="E30" i="82"/>
  <c r="F7" i="82"/>
  <c r="U22" i="82"/>
  <c r="T22" i="82"/>
  <c r="T3" i="82"/>
  <c r="U20" i="82"/>
  <c r="T20" i="82"/>
  <c r="T21" i="82"/>
  <c r="U24" i="82"/>
  <c r="T24" i="82"/>
  <c r="U26" i="82"/>
  <c r="T26" i="82"/>
  <c r="U28" i="82"/>
  <c r="T28" i="82"/>
  <c r="F23" i="82"/>
  <c r="S38" i="81"/>
  <c r="R38" i="81"/>
  <c r="G7" i="81"/>
  <c r="G15" i="81" s="1"/>
  <c r="H7" i="81"/>
  <c r="H15" i="81" s="1"/>
  <c r="I7" i="81"/>
  <c r="I15" i="81" s="1"/>
  <c r="J7" i="81"/>
  <c r="J15" i="81" s="1"/>
  <c r="K7" i="81"/>
  <c r="K15" i="81" s="1"/>
  <c r="L7" i="81"/>
  <c r="L15" i="81" s="1"/>
  <c r="M7" i="81"/>
  <c r="M15" i="81" s="1"/>
  <c r="N7" i="81"/>
  <c r="N15" i="81" s="1"/>
  <c r="O7" i="81"/>
  <c r="O15" i="81" s="1"/>
  <c r="P7" i="81"/>
  <c r="P15" i="81" s="1"/>
  <c r="Q7" i="81"/>
  <c r="Q15" i="81" s="1"/>
  <c r="R33" i="81"/>
  <c r="E33" i="81"/>
  <c r="R31" i="81"/>
  <c r="E31" i="81"/>
  <c r="R29" i="81"/>
  <c r="R28" i="81"/>
  <c r="T28" i="81" s="1"/>
  <c r="R27" i="81"/>
  <c r="T27" i="81" s="1"/>
  <c r="R26" i="81"/>
  <c r="T26" i="81" s="1"/>
  <c r="R25" i="81"/>
  <c r="T25" i="81" s="1"/>
  <c r="Q24" i="81"/>
  <c r="Q34" i="81" s="1"/>
  <c r="P24" i="81"/>
  <c r="P34" i="81" s="1"/>
  <c r="O24" i="81"/>
  <c r="O34" i="81" s="1"/>
  <c r="N24" i="81"/>
  <c r="N34" i="81" s="1"/>
  <c r="M24" i="81"/>
  <c r="M34" i="81" s="1"/>
  <c r="L24" i="81"/>
  <c r="L34" i="81" s="1"/>
  <c r="K24" i="81"/>
  <c r="K34" i="81" s="1"/>
  <c r="J24" i="81"/>
  <c r="J34" i="81" s="1"/>
  <c r="I24" i="81"/>
  <c r="I34" i="81" s="1"/>
  <c r="H24" i="81"/>
  <c r="H34" i="81" s="1"/>
  <c r="G24" i="81"/>
  <c r="G34" i="81" s="1"/>
  <c r="F24" i="81"/>
  <c r="F34" i="81" s="1"/>
  <c r="E24" i="81"/>
  <c r="D24" i="81"/>
  <c r="D34" i="81" s="1"/>
  <c r="R23" i="81"/>
  <c r="R22" i="81"/>
  <c r="T22" i="81" s="1"/>
  <c r="R21" i="81"/>
  <c r="R20" i="81"/>
  <c r="R19" i="81"/>
  <c r="R14" i="81"/>
  <c r="S14" i="81" s="1"/>
  <c r="R12" i="81"/>
  <c r="S12" i="81" s="1"/>
  <c r="R10" i="81"/>
  <c r="S10" i="81" s="1"/>
  <c r="R9" i="81"/>
  <c r="R8" i="81"/>
  <c r="S8" i="81" s="1"/>
  <c r="F7" i="81"/>
  <c r="F15" i="81" s="1"/>
  <c r="E7" i="81"/>
  <c r="E15" i="81" s="1"/>
  <c r="D7" i="81"/>
  <c r="D15" i="81" s="1"/>
  <c r="R5" i="81"/>
  <c r="S5" i="81" s="1"/>
  <c r="R3" i="81"/>
  <c r="S3" i="81" s="1"/>
  <c r="S38" i="67"/>
  <c r="R38" i="67"/>
  <c r="R19" i="67"/>
  <c r="T19" i="67" s="1"/>
  <c r="R20" i="67"/>
  <c r="T20" i="67" s="1"/>
  <c r="R22" i="67"/>
  <c r="T22" i="67" s="1"/>
  <c r="G15" i="67"/>
  <c r="H15" i="67"/>
  <c r="I15" i="67"/>
  <c r="J15" i="67"/>
  <c r="K15" i="67"/>
  <c r="L15" i="67"/>
  <c r="M15" i="67"/>
  <c r="N15" i="67"/>
  <c r="O15" i="67"/>
  <c r="P15" i="67"/>
  <c r="Q15" i="67"/>
  <c r="Q15" i="89" l="1"/>
  <c r="O33" i="88"/>
  <c r="K7" i="83"/>
  <c r="M15" i="85"/>
  <c r="K7" i="84"/>
  <c r="K15" i="84" s="1"/>
  <c r="T7" i="82"/>
  <c r="T15" i="82" s="1"/>
  <c r="F33" i="83"/>
  <c r="K23" i="84"/>
  <c r="K33" i="84" s="1"/>
  <c r="L7" i="84"/>
  <c r="F15" i="85"/>
  <c r="O15" i="87"/>
  <c r="R32" i="91"/>
  <c r="T22" i="91"/>
  <c r="S34" i="91"/>
  <c r="S35" i="91" s="1"/>
  <c r="S33" i="91"/>
  <c r="R33" i="90"/>
  <c r="S22" i="90"/>
  <c r="Q32" i="90"/>
  <c r="P40" i="89"/>
  <c r="P39" i="89"/>
  <c r="Q35" i="89"/>
  <c r="Q36" i="89" s="1"/>
  <c r="Q34" i="89"/>
  <c r="P34" i="88"/>
  <c r="P35" i="88"/>
  <c r="P36" i="88" s="1"/>
  <c r="O34" i="88"/>
  <c r="Q33" i="88"/>
  <c r="O35" i="88"/>
  <c r="O36" i="88" s="1"/>
  <c r="O38" i="88" s="1"/>
  <c r="O34" i="87"/>
  <c r="P23" i="87"/>
  <c r="N33" i="87"/>
  <c r="N15" i="86"/>
  <c r="N35" i="86"/>
  <c r="N36" i="86" s="1"/>
  <c r="O23" i="86"/>
  <c r="E39" i="85"/>
  <c r="G34" i="85"/>
  <c r="H34" i="85"/>
  <c r="J34" i="85"/>
  <c r="K34" i="85"/>
  <c r="M23" i="85"/>
  <c r="M33" i="85" s="1"/>
  <c r="F33" i="85"/>
  <c r="F34" i="85" s="1"/>
  <c r="L23" i="85"/>
  <c r="L23" i="84"/>
  <c r="L3" i="84"/>
  <c r="L30" i="84"/>
  <c r="E33" i="84"/>
  <c r="I34" i="84" s="1"/>
  <c r="M30" i="84"/>
  <c r="L23" i="83"/>
  <c r="G34" i="83"/>
  <c r="I34" i="83"/>
  <c r="H34" i="83"/>
  <c r="E39" i="83"/>
  <c r="K25" i="83"/>
  <c r="K23" i="83" s="1"/>
  <c r="K33" i="83" s="1"/>
  <c r="J33" i="83"/>
  <c r="L33" i="83" s="1"/>
  <c r="F15" i="83"/>
  <c r="F34" i="83"/>
  <c r="J15" i="83"/>
  <c r="K3" i="83"/>
  <c r="K15" i="83" s="1"/>
  <c r="S23" i="82"/>
  <c r="S33" i="82" s="1"/>
  <c r="F33" i="82"/>
  <c r="F15" i="82"/>
  <c r="S7" i="82"/>
  <c r="S15" i="82" s="1"/>
  <c r="T23" i="82"/>
  <c r="T30" i="82"/>
  <c r="U30" i="82"/>
  <c r="E33" i="82"/>
  <c r="S21" i="81"/>
  <c r="T21" i="81"/>
  <c r="T31" i="81"/>
  <c r="S19" i="81"/>
  <c r="T19" i="81"/>
  <c r="S23" i="81"/>
  <c r="T23" i="81"/>
  <c r="S25" i="81"/>
  <c r="S28" i="81"/>
  <c r="S20" i="81"/>
  <c r="T20" i="81"/>
  <c r="S29" i="81"/>
  <c r="T29" i="81"/>
  <c r="S31" i="81"/>
  <c r="E34" i="81"/>
  <c r="E40" i="81" s="1"/>
  <c r="S7" i="81"/>
  <c r="S15" i="81" s="1"/>
  <c r="R24" i="81"/>
  <c r="T24" i="81" s="1"/>
  <c r="R7" i="81"/>
  <c r="R15" i="81" s="1"/>
  <c r="S27" i="81"/>
  <c r="S22" i="81"/>
  <c r="S26" i="81"/>
  <c r="M23" i="84" l="1"/>
  <c r="L15" i="84"/>
  <c r="T32" i="91"/>
  <c r="R34" i="91"/>
  <c r="R35" i="91" s="1"/>
  <c r="R37" i="91" s="1"/>
  <c r="R33" i="91"/>
  <c r="Q33" i="90"/>
  <c r="Q34" i="90"/>
  <c r="Q35" i="90" s="1"/>
  <c r="Q37" i="90" s="1"/>
  <c r="S32" i="90"/>
  <c r="O39" i="88"/>
  <c r="N34" i="87"/>
  <c r="P33" i="87"/>
  <c r="N35" i="87"/>
  <c r="N36" i="87" s="1"/>
  <c r="N38" i="87" s="1"/>
  <c r="M35" i="86"/>
  <c r="O33" i="86"/>
  <c r="M35" i="85"/>
  <c r="M36" i="85" s="1"/>
  <c r="M34" i="85"/>
  <c r="N23" i="85"/>
  <c r="L33" i="85"/>
  <c r="L33" i="84"/>
  <c r="L34" i="84" s="1"/>
  <c r="M33" i="84"/>
  <c r="K35" i="84"/>
  <c r="K36" i="84" s="1"/>
  <c r="K38" i="84" s="1"/>
  <c r="K34" i="84"/>
  <c r="E39" i="84"/>
  <c r="G34" i="84"/>
  <c r="J34" i="84"/>
  <c r="H34" i="84"/>
  <c r="F34" i="84"/>
  <c r="J35" i="83"/>
  <c r="J36" i="83" s="1"/>
  <c r="J38" i="83" s="1"/>
  <c r="J39" i="83" s="1"/>
  <c r="J34" i="83"/>
  <c r="K35" i="83"/>
  <c r="K36" i="83" s="1"/>
  <c r="K34" i="83"/>
  <c r="J40" i="83"/>
  <c r="J41" i="83" s="1"/>
  <c r="F34" i="82"/>
  <c r="H34" i="82"/>
  <c r="G34" i="82"/>
  <c r="T33" i="82"/>
  <c r="T35" i="82" s="1"/>
  <c r="T36" i="82" s="1"/>
  <c r="P34" i="82"/>
  <c r="L34" i="82"/>
  <c r="O34" i="82"/>
  <c r="K34" i="82"/>
  <c r="I34" i="82"/>
  <c r="M34" i="82"/>
  <c r="J34" i="82"/>
  <c r="Q34" i="82"/>
  <c r="R34" i="82"/>
  <c r="N34" i="82"/>
  <c r="E39" i="82"/>
  <c r="U23" i="82"/>
  <c r="S24" i="81"/>
  <c r="S34" i="81" s="1"/>
  <c r="S36" i="81" s="1"/>
  <c r="S37" i="81" s="1"/>
  <c r="P35" i="81"/>
  <c r="Q35" i="81"/>
  <c r="N35" i="81"/>
  <c r="L35" i="81"/>
  <c r="H35" i="81"/>
  <c r="O35" i="81"/>
  <c r="J35" i="81"/>
  <c r="K35" i="81"/>
  <c r="M35" i="81"/>
  <c r="G35" i="81"/>
  <c r="F35" i="81"/>
  <c r="I35" i="81"/>
  <c r="R34" i="81"/>
  <c r="L35" i="84" l="1"/>
  <c r="L36" i="84" s="1"/>
  <c r="R39" i="91"/>
  <c r="R40" i="91" s="1"/>
  <c r="R38" i="91"/>
  <c r="Q39" i="90"/>
  <c r="Q38" i="90"/>
  <c r="N40" i="87"/>
  <c r="N41" i="87" s="1"/>
  <c r="N39" i="87"/>
  <c r="M36" i="86"/>
  <c r="M38" i="86" s="1"/>
  <c r="L35" i="85"/>
  <c r="L36" i="85" s="1"/>
  <c r="L38" i="85" s="1"/>
  <c r="N33" i="85"/>
  <c r="L34" i="85"/>
  <c r="K40" i="84"/>
  <c r="K39" i="84"/>
  <c r="T34" i="82"/>
  <c r="U33" i="82"/>
  <c r="S35" i="82"/>
  <c r="S36" i="82" s="1"/>
  <c r="S38" i="82" s="1"/>
  <c r="S34" i="82"/>
  <c r="S35" i="81"/>
  <c r="T34" i="81"/>
  <c r="R35" i="81"/>
  <c r="R36" i="81"/>
  <c r="R37" i="81" s="1"/>
  <c r="R39" i="81" s="1"/>
  <c r="M39" i="86" l="1"/>
  <c r="M40" i="86"/>
  <c r="L40" i="85"/>
  <c r="L39" i="85"/>
  <c r="S40" i="82"/>
  <c r="S41" i="82" s="1"/>
  <c r="S39" i="82"/>
  <c r="R41" i="81"/>
  <c r="R42" i="81" s="1"/>
  <c r="R40" i="81"/>
  <c r="D14" i="48" l="1"/>
  <c r="D13" i="48"/>
  <c r="C12" i="48" l="1"/>
  <c r="D12" i="48"/>
  <c r="D11" i="48" l="1"/>
  <c r="J122" i="48" l="1"/>
  <c r="J123" i="48"/>
  <c r="J124" i="48"/>
  <c r="J125" i="48"/>
  <c r="J126" i="48"/>
  <c r="J127" i="48"/>
  <c r="K101" i="48"/>
  <c r="K104" i="48"/>
  <c r="K100" i="48"/>
  <c r="K99" i="48"/>
  <c r="C10" i="48"/>
  <c r="C11" i="48" s="1"/>
  <c r="C13" i="48" s="1"/>
  <c r="C14" i="48" s="1"/>
  <c r="C15" i="48" s="1"/>
  <c r="C16" i="48" s="1"/>
  <c r="C17" i="48" s="1"/>
  <c r="C18" i="48" s="1"/>
  <c r="C19" i="48" s="1"/>
  <c r="K111" i="48" s="1"/>
  <c r="D19" i="48"/>
  <c r="E19" i="48" s="1"/>
  <c r="E7" i="48"/>
  <c r="E8" i="48" s="1"/>
  <c r="E9" i="48" s="1"/>
  <c r="K103" i="48" l="1"/>
  <c r="K102" i="48"/>
  <c r="K107" i="48"/>
  <c r="K110" i="48"/>
  <c r="K106" i="48"/>
  <c r="K109" i="48"/>
  <c r="K105" i="48"/>
  <c r="K108" i="48"/>
  <c r="E20" i="48"/>
  <c r="F19" i="48"/>
  <c r="F7" i="48"/>
  <c r="E10" i="48"/>
  <c r="F9" i="48"/>
  <c r="F8" i="48"/>
  <c r="E11" i="48" l="1"/>
  <c r="F10" i="48"/>
  <c r="E12" i="48" l="1"/>
  <c r="F11" i="48"/>
  <c r="E13" i="48" l="1"/>
  <c r="F12" i="48"/>
  <c r="E14" i="48" l="1"/>
  <c r="F13" i="48"/>
  <c r="E15" i="48" l="1"/>
  <c r="F14" i="48"/>
  <c r="E16" i="48" l="1"/>
  <c r="F15" i="48"/>
  <c r="E17" i="48" l="1"/>
  <c r="F16" i="48"/>
  <c r="E18" i="48" l="1"/>
  <c r="F18" i="48" s="1"/>
  <c r="F17" i="48"/>
  <c r="F7" i="67" l="1"/>
  <c r="F15" i="67" s="1"/>
  <c r="F24" i="67"/>
  <c r="G24" i="67"/>
  <c r="H24" i="67"/>
  <c r="I24" i="67"/>
  <c r="J24" i="67"/>
  <c r="K24" i="67"/>
  <c r="L24" i="67"/>
  <c r="M24" i="67"/>
  <c r="N24" i="67"/>
  <c r="O24" i="67"/>
  <c r="P24" i="67"/>
  <c r="Q24" i="67"/>
  <c r="D7" i="67" l="1"/>
  <c r="D15" i="67" s="1"/>
  <c r="R33" i="67" l="1"/>
  <c r="E31" i="67"/>
  <c r="R29" i="67"/>
  <c r="T29" i="67" s="1"/>
  <c r="R28" i="67"/>
  <c r="T28" i="67" s="1"/>
  <c r="R27" i="67"/>
  <c r="R26" i="67"/>
  <c r="T26" i="67" s="1"/>
  <c r="R25" i="67"/>
  <c r="T25" i="67" s="1"/>
  <c r="D24" i="67"/>
  <c r="Q34" i="67"/>
  <c r="P34" i="67"/>
  <c r="O34" i="67"/>
  <c r="N34" i="67"/>
  <c r="M34" i="67"/>
  <c r="L34" i="67"/>
  <c r="K34" i="67"/>
  <c r="J34" i="67"/>
  <c r="I34" i="67"/>
  <c r="H34" i="67"/>
  <c r="R23" i="67"/>
  <c r="S22" i="67"/>
  <c r="R21" i="67"/>
  <c r="T21" i="67" s="1"/>
  <c r="R14" i="67"/>
  <c r="R12" i="67"/>
  <c r="S12" i="67" s="1"/>
  <c r="R10" i="67"/>
  <c r="S10" i="67" s="1"/>
  <c r="R9" i="67"/>
  <c r="R8" i="67"/>
  <c r="S8" i="67" s="1"/>
  <c r="R7" i="67"/>
  <c r="E7" i="67"/>
  <c r="E15" i="67" s="1"/>
  <c r="R5" i="67"/>
  <c r="S5" i="67" s="1"/>
  <c r="R3" i="67"/>
  <c r="S23" i="67" l="1"/>
  <c r="T23" i="67"/>
  <c r="S27" i="67"/>
  <c r="T27" i="67"/>
  <c r="S3" i="67"/>
  <c r="R15" i="67"/>
  <c r="S29" i="67"/>
  <c r="S7" i="67"/>
  <c r="S28" i="67"/>
  <c r="S25" i="67"/>
  <c r="S19" i="67"/>
  <c r="S26" i="67"/>
  <c r="E24" i="67"/>
  <c r="G34" i="67"/>
  <c r="S20" i="67"/>
  <c r="S14" i="67"/>
  <c r="S21" i="67"/>
  <c r="R31" i="67"/>
  <c r="S31" i="67" l="1"/>
  <c r="T31" i="67"/>
  <c r="S15" i="67"/>
  <c r="F34" i="67"/>
  <c r="R24" i="67"/>
  <c r="T24" i="67" s="1"/>
  <c r="S24" i="67"/>
  <c r="S34" i="67" s="1"/>
  <c r="S36" i="67" l="1"/>
  <c r="R34" i="67"/>
  <c r="R36" i="67" l="1"/>
  <c r="J119" i="48" l="1"/>
  <c r="J120" i="48"/>
  <c r="J121" i="48"/>
  <c r="I117" i="48"/>
  <c r="I118" i="48"/>
  <c r="I119" i="48"/>
  <c r="I120" i="48"/>
  <c r="I121" i="48"/>
  <c r="I122" i="48"/>
  <c r="I123" i="48"/>
  <c r="I124" i="48"/>
  <c r="I125" i="48"/>
  <c r="I126" i="48"/>
  <c r="I127" i="48"/>
  <c r="I116" i="48"/>
  <c r="H116" i="48"/>
  <c r="I128" i="48" l="1"/>
  <c r="I100" i="48"/>
  <c r="I101" i="48"/>
  <c r="I102" i="48"/>
  <c r="I103" i="48"/>
  <c r="I104" i="48"/>
  <c r="I105" i="48"/>
  <c r="I106" i="48"/>
  <c r="I107" i="48"/>
  <c r="I108" i="48"/>
  <c r="I109" i="48"/>
  <c r="I110" i="48"/>
  <c r="I99" i="48"/>
  <c r="J40" i="48"/>
  <c r="I40" i="48"/>
  <c r="K28" i="48"/>
  <c r="I111" i="48" l="1"/>
  <c r="C143" i="48"/>
  <c r="K40" i="48"/>
  <c r="K41" i="48" s="1"/>
  <c r="D143" i="48"/>
  <c r="L28" i="48"/>
  <c r="K29" i="48"/>
  <c r="L40" i="48" l="1"/>
  <c r="E143" i="48"/>
  <c r="L29" i="48"/>
  <c r="K30" i="48"/>
  <c r="L30" i="48" l="1"/>
  <c r="K31" i="48"/>
  <c r="L31" i="48" l="1"/>
  <c r="K32" i="48"/>
  <c r="L32" i="48" l="1"/>
  <c r="K33" i="48"/>
  <c r="L33" i="48" l="1"/>
  <c r="K34" i="48"/>
  <c r="L34" i="48" l="1"/>
  <c r="K35" i="48"/>
  <c r="L35" i="48" l="1"/>
  <c r="K36" i="48"/>
  <c r="L36" i="48" l="1"/>
  <c r="K37" i="48"/>
  <c r="L37" i="48" l="1"/>
  <c r="K38" i="48"/>
  <c r="L38" i="48" l="1"/>
  <c r="K39" i="48"/>
  <c r="L39" i="48" s="1"/>
  <c r="E33" i="67" l="1"/>
  <c r="E34" i="67" l="1"/>
  <c r="T33" i="67"/>
  <c r="G35" i="67"/>
  <c r="F35" i="67"/>
  <c r="E40" i="67"/>
  <c r="J35" i="67"/>
  <c r="L35" i="67"/>
  <c r="Q35" i="67"/>
  <c r="O35" i="67"/>
  <c r="S35" i="67"/>
  <c r="K35" i="67"/>
  <c r="P35" i="67"/>
  <c r="H35" i="67"/>
  <c r="N35" i="67"/>
  <c r="M35" i="67"/>
  <c r="I35" i="67"/>
  <c r="S37" i="67"/>
  <c r="T34" i="67"/>
  <c r="R35" i="67"/>
  <c r="R37" i="67"/>
  <c r="R39" i="67" s="1"/>
  <c r="H101" i="48"/>
  <c r="R41" i="67" l="1"/>
  <c r="R42" i="67" s="1"/>
  <c r="R40" i="67"/>
  <c r="H102" i="48"/>
  <c r="H103" i="48" l="1"/>
  <c r="H104" i="48" l="1"/>
  <c r="H105" i="48" l="1"/>
  <c r="G118" i="48" l="1"/>
  <c r="G117" i="48"/>
  <c r="G116" i="48"/>
  <c r="G100" i="48"/>
  <c r="G101" i="48" s="1"/>
  <c r="G102" i="48" s="1"/>
  <c r="G103" i="48" s="1"/>
  <c r="G104" i="48" s="1"/>
  <c r="G105" i="48" s="1"/>
  <c r="G106" i="48" s="1"/>
  <c r="G107" i="48" s="1"/>
  <c r="G108" i="48" s="1"/>
  <c r="G109" i="48" s="1"/>
  <c r="K45" i="48"/>
  <c r="K46" i="48" l="1"/>
  <c r="K47" i="48" s="1"/>
  <c r="L47" i="48" l="1"/>
  <c r="H127" i="48" l="1"/>
  <c r="G126" i="48" l="1"/>
  <c r="H126" i="48"/>
  <c r="G127" i="48"/>
  <c r="H124" i="48" l="1"/>
  <c r="G124" i="48" l="1"/>
  <c r="F123" i="48" l="1"/>
  <c r="F124" i="48"/>
  <c r="F126" i="48"/>
  <c r="F127" i="48"/>
  <c r="F111" i="48" l="1"/>
  <c r="C140" i="48" s="1"/>
  <c r="E127" i="48" l="1"/>
  <c r="C117" i="48" l="1"/>
  <c r="C118" i="48"/>
  <c r="C119" i="48"/>
  <c r="C120" i="48"/>
  <c r="C121" i="48"/>
  <c r="C122" i="48"/>
  <c r="C123" i="48"/>
  <c r="C124" i="48"/>
  <c r="C125" i="48"/>
  <c r="C126" i="48"/>
  <c r="C116" i="48"/>
  <c r="I92" i="48"/>
  <c r="J91" i="48"/>
  <c r="C127" i="48" s="1"/>
  <c r="D91" i="48"/>
  <c r="D92" i="48" s="1"/>
  <c r="E92" i="48" s="1"/>
  <c r="D117" i="48"/>
  <c r="D118" i="48"/>
  <c r="D119" i="48"/>
  <c r="D120" i="48"/>
  <c r="D121" i="48"/>
  <c r="D122" i="48"/>
  <c r="D123" i="48"/>
  <c r="D124" i="48"/>
  <c r="D125" i="48"/>
  <c r="D126" i="48"/>
  <c r="D116" i="48"/>
  <c r="D100" i="48"/>
  <c r="D101" i="48"/>
  <c r="D102" i="48"/>
  <c r="D103" i="48"/>
  <c r="D104" i="48"/>
  <c r="D105" i="48"/>
  <c r="D106" i="48"/>
  <c r="D107" i="48"/>
  <c r="D108" i="48"/>
  <c r="D109" i="48"/>
  <c r="D110" i="48"/>
  <c r="D111" i="48" s="1"/>
  <c r="C138" i="48" s="1"/>
  <c r="D99" i="48"/>
  <c r="C100" i="48"/>
  <c r="C101" i="48"/>
  <c r="C102" i="48"/>
  <c r="C103" i="48"/>
  <c r="C104" i="48"/>
  <c r="C105" i="48"/>
  <c r="C106" i="48"/>
  <c r="C107" i="48"/>
  <c r="C108" i="48"/>
  <c r="C109" i="48"/>
  <c r="C110" i="48"/>
  <c r="C111" i="48" s="1"/>
  <c r="C137" i="48" s="1"/>
  <c r="C99" i="48"/>
  <c r="C92" i="48"/>
  <c r="E80" i="48"/>
  <c r="F80" i="48" s="1"/>
  <c r="K80" i="48"/>
  <c r="K81" i="48" s="1"/>
  <c r="F138" i="48" l="1"/>
  <c r="D127" i="48"/>
  <c r="D128" i="48" s="1"/>
  <c r="J92" i="48"/>
  <c r="L92" i="48" s="1"/>
  <c r="F92" i="48"/>
  <c r="C128" i="48"/>
  <c r="D137" i="48" s="1"/>
  <c r="L80" i="48"/>
  <c r="E93" i="48"/>
  <c r="K82" i="48"/>
  <c r="L81" i="48"/>
  <c r="E81" i="48"/>
  <c r="D138" i="48" l="1"/>
  <c r="E138" i="48" s="1"/>
  <c r="K83" i="48"/>
  <c r="L82" i="48"/>
  <c r="F81" i="48"/>
  <c r="E82" i="48"/>
  <c r="F82" i="48" l="1"/>
  <c r="E83" i="48"/>
  <c r="K84" i="48"/>
  <c r="L83" i="48"/>
  <c r="F83" i="48" l="1"/>
  <c r="E84" i="48"/>
  <c r="K85" i="48"/>
  <c r="L84" i="48"/>
  <c r="K86" i="48" l="1"/>
  <c r="L85" i="48"/>
  <c r="F84" i="48"/>
  <c r="E85" i="48"/>
  <c r="F85" i="48" l="1"/>
  <c r="E86" i="48"/>
  <c r="K87" i="48"/>
  <c r="L86" i="48"/>
  <c r="H122" i="48"/>
  <c r="H120" i="48"/>
  <c r="H121" i="48"/>
  <c r="H119" i="48"/>
  <c r="H123" i="48"/>
  <c r="D34" i="67" l="1"/>
  <c r="J118" i="48"/>
  <c r="G125" i="48"/>
  <c r="H125" i="48"/>
  <c r="F118" i="48"/>
  <c r="H118" i="48"/>
  <c r="J117" i="48"/>
  <c r="F117" i="48"/>
  <c r="G119" i="48"/>
  <c r="K48" i="48"/>
  <c r="L48" i="48" s="1"/>
  <c r="F120" i="48"/>
  <c r="F121" i="48"/>
  <c r="F122" i="48"/>
  <c r="G123" i="48"/>
  <c r="F125" i="48"/>
  <c r="F119" i="48"/>
  <c r="E123" i="48"/>
  <c r="E117" i="48"/>
  <c r="E125" i="48"/>
  <c r="E119" i="48"/>
  <c r="E121" i="48"/>
  <c r="E120" i="48"/>
  <c r="E124" i="48"/>
  <c r="E118" i="48"/>
  <c r="E122" i="48"/>
  <c r="E126" i="48"/>
  <c r="F86" i="48"/>
  <c r="E87" i="48"/>
  <c r="K88" i="48"/>
  <c r="L87" i="48"/>
  <c r="J99" i="48" l="1"/>
  <c r="L45" i="48"/>
  <c r="H99" i="48"/>
  <c r="H117" i="48"/>
  <c r="G120" i="48"/>
  <c r="K49" i="48"/>
  <c r="L49" i="48" s="1"/>
  <c r="G121" i="48"/>
  <c r="G122" i="48"/>
  <c r="J57" i="48"/>
  <c r="K57" i="48" s="1"/>
  <c r="E99" i="48"/>
  <c r="E88" i="48"/>
  <c r="F87" i="48"/>
  <c r="K89" i="48"/>
  <c r="L88" i="48"/>
  <c r="L46" i="48" l="1"/>
  <c r="J100" i="48"/>
  <c r="H100" i="48"/>
  <c r="K50" i="48"/>
  <c r="L50" i="48" s="1"/>
  <c r="G128" i="48"/>
  <c r="D141" i="48"/>
  <c r="E116" i="48"/>
  <c r="J74" i="48"/>
  <c r="K74" i="48" s="1"/>
  <c r="K90" i="48"/>
  <c r="L89" i="48"/>
  <c r="F88" i="48"/>
  <c r="E89" i="48"/>
  <c r="J101" i="48" l="1"/>
  <c r="K51" i="48"/>
  <c r="L51" i="48" s="1"/>
  <c r="L62" i="48"/>
  <c r="E100" i="48"/>
  <c r="E101" i="48"/>
  <c r="E128" i="48"/>
  <c r="D139" i="48" s="1"/>
  <c r="E90" i="48"/>
  <c r="E91" i="48" s="1"/>
  <c r="F89" i="48"/>
  <c r="K91" i="48"/>
  <c r="E137" i="48" s="1"/>
  <c r="L90" i="48"/>
  <c r="J102" i="48" l="1"/>
  <c r="K52" i="48"/>
  <c r="K53" i="48" s="1"/>
  <c r="K54" i="48" s="1"/>
  <c r="E102" i="48"/>
  <c r="L63" i="48"/>
  <c r="E105" i="48"/>
  <c r="E104" i="48"/>
  <c r="L91" i="48"/>
  <c r="K92" i="48"/>
  <c r="K93" i="48" s="1"/>
  <c r="F91" i="48"/>
  <c r="F90" i="48"/>
  <c r="J103" i="48" l="1"/>
  <c r="L52" i="48"/>
  <c r="L53" i="48"/>
  <c r="L54" i="48"/>
  <c r="K55" i="48"/>
  <c r="L64" i="48"/>
  <c r="E103" i="48"/>
  <c r="J104" i="48" l="1"/>
  <c r="K56" i="48"/>
  <c r="L55" i="48"/>
  <c r="E107" i="48"/>
  <c r="L65" i="48"/>
  <c r="J105" i="48" l="1"/>
  <c r="H106" i="48"/>
  <c r="L66" i="48"/>
  <c r="E106" i="48"/>
  <c r="J106" i="48" l="1"/>
  <c r="H107" i="48"/>
  <c r="I57" i="48"/>
  <c r="L56" i="48"/>
  <c r="L67" i="48"/>
  <c r="J107" i="48" l="1"/>
  <c r="H108" i="48"/>
  <c r="G110" i="48"/>
  <c r="G111" i="48" s="1"/>
  <c r="C141" i="48" s="1"/>
  <c r="F141" i="48" s="1"/>
  <c r="K58" i="48"/>
  <c r="L57" i="48"/>
  <c r="E108" i="48"/>
  <c r="L68" i="48"/>
  <c r="J108" i="48" l="1"/>
  <c r="E141" i="48"/>
  <c r="H109" i="48"/>
  <c r="L69" i="48"/>
  <c r="J109" i="48" l="1"/>
  <c r="H110" i="48"/>
  <c r="H111" i="48" s="1"/>
  <c r="C142" i="48" s="1"/>
  <c r="L70" i="48"/>
  <c r="E110" i="48"/>
  <c r="E111" i="48" s="1"/>
  <c r="C139" i="48" s="1"/>
  <c r="F140" i="48" s="1"/>
  <c r="I74" i="48"/>
  <c r="E109" i="48"/>
  <c r="C40" i="48" l="1"/>
  <c r="J111" i="48" s="1"/>
  <c r="L111" i="48" s="1"/>
  <c r="J110" i="48"/>
  <c r="F142" i="48"/>
  <c r="F143" i="48"/>
  <c r="L71" i="48"/>
  <c r="K75" i="48"/>
  <c r="L74" i="48"/>
  <c r="F139" i="48"/>
  <c r="E139" i="48"/>
  <c r="C144" i="48" l="1"/>
  <c r="L73" i="48"/>
  <c r="L72" i="48"/>
  <c r="F144" i="48" l="1"/>
  <c r="E28" i="48" l="1"/>
  <c r="K116" i="48" s="1"/>
  <c r="J116" i="48"/>
  <c r="J128" i="48" s="1"/>
  <c r="D40" i="48"/>
  <c r="D144" i="48" s="1"/>
  <c r="H128" i="48"/>
  <c r="D142" i="48" s="1"/>
  <c r="E142" i="48" s="1"/>
  <c r="E45" i="48"/>
  <c r="E57" i="48"/>
  <c r="F116" i="48"/>
  <c r="F128" i="48" s="1"/>
  <c r="E29" i="48" l="1"/>
  <c r="K117" i="48" s="1"/>
  <c r="F28" i="48"/>
  <c r="E40" i="48"/>
  <c r="E144" i="48"/>
  <c r="E58" i="48"/>
  <c r="F57" i="48"/>
  <c r="F45" i="48"/>
  <c r="E46" i="48"/>
  <c r="D140" i="48"/>
  <c r="E140" i="48" s="1"/>
  <c r="F40" i="48" l="1"/>
  <c r="E41" i="48"/>
  <c r="F29" i="48"/>
  <c r="E30" i="48"/>
  <c r="K118" i="48" s="1"/>
  <c r="F46" i="48"/>
  <c r="E47" i="48"/>
  <c r="E31" i="48" l="1"/>
  <c r="K119" i="48" s="1"/>
  <c r="F30" i="48"/>
  <c r="E48" i="48"/>
  <c r="F47" i="48"/>
  <c r="E32" i="48" l="1"/>
  <c r="K120" i="48" s="1"/>
  <c r="F31" i="48"/>
  <c r="F48" i="48"/>
  <c r="E49" i="48"/>
  <c r="E33" i="48" l="1"/>
  <c r="K121" i="48" s="1"/>
  <c r="F32" i="48"/>
  <c r="F49" i="48"/>
  <c r="E50" i="48"/>
  <c r="E34" i="48" l="1"/>
  <c r="K122" i="48" s="1"/>
  <c r="F33" i="48"/>
  <c r="E51" i="48"/>
  <c r="F50" i="48"/>
  <c r="E35" i="48" l="1"/>
  <c r="K123" i="48" s="1"/>
  <c r="F34" i="48"/>
  <c r="F51" i="48"/>
  <c r="E52" i="48"/>
  <c r="E36" i="48" l="1"/>
  <c r="K124" i="48" s="1"/>
  <c r="F35" i="48"/>
  <c r="E53" i="48"/>
  <c r="F52" i="48"/>
  <c r="E37" i="48" l="1"/>
  <c r="K125" i="48" s="1"/>
  <c r="F36" i="48"/>
  <c r="F53" i="48"/>
  <c r="E54" i="48"/>
  <c r="E38" i="48" l="1"/>
  <c r="K126" i="48" s="1"/>
  <c r="F37" i="48"/>
  <c r="F54" i="48"/>
  <c r="E55" i="48"/>
  <c r="E39" i="48" l="1"/>
  <c r="F38" i="48"/>
  <c r="E56" i="48"/>
  <c r="F56" i="48" s="1"/>
  <c r="F55" i="48"/>
  <c r="F39" i="48" l="1"/>
  <c r="K127" i="48"/>
  <c r="K128" i="48" s="1"/>
</calcChain>
</file>

<file path=xl/sharedStrings.xml><?xml version="1.0" encoding="utf-8"?>
<sst xmlns="http://schemas.openxmlformats.org/spreadsheetml/2006/main" count="1113" uniqueCount="98">
  <si>
    <t>SUBT.</t>
  </si>
  <si>
    <t>ITEM</t>
  </si>
  <si>
    <t>DENOMINACION</t>
  </si>
  <si>
    <t>PPTO. VGTE.</t>
  </si>
  <si>
    <t>TOTALES</t>
  </si>
  <si>
    <t>ENERO</t>
  </si>
  <si>
    <t xml:space="preserve"> </t>
  </si>
  <si>
    <t>Totales</t>
  </si>
  <si>
    <t>Por cumplir</t>
  </si>
  <si>
    <t>% Desembolsado respecto al Marco Vgte.</t>
  </si>
  <si>
    <t>% Excedido</t>
  </si>
  <si>
    <t>% Por Cumplir</t>
  </si>
  <si>
    <t>Monto M$</t>
  </si>
  <si>
    <t>% Desembolsado óptimo</t>
  </si>
  <si>
    <t>Saldo final de caja</t>
  </si>
  <si>
    <t xml:space="preserve">POR EJECUTAR </t>
  </si>
  <si>
    <t>PPTO. INICIAL</t>
  </si>
  <si>
    <t>MARZO</t>
  </si>
  <si>
    <t>ABRIL</t>
  </si>
  <si>
    <t>01</t>
  </si>
  <si>
    <t>03</t>
  </si>
  <si>
    <t>06</t>
  </si>
  <si>
    <t>Deuda flotante</t>
  </si>
  <si>
    <t>MAYO</t>
  </si>
  <si>
    <t>Transferencias Corrientes</t>
  </si>
  <si>
    <t>JUNIO</t>
  </si>
  <si>
    <t>JULIO</t>
  </si>
  <si>
    <t>AGOSTO</t>
  </si>
  <si>
    <t>SEPT.</t>
  </si>
  <si>
    <t>OCT.</t>
  </si>
  <si>
    <t>NOV.</t>
  </si>
  <si>
    <t>DICIEMBRE</t>
  </si>
  <si>
    <t>en miles de pesos</t>
  </si>
  <si>
    <t>Ingresos</t>
  </si>
  <si>
    <t>Rentas de la Propiedad</t>
  </si>
  <si>
    <t>99</t>
  </si>
  <si>
    <t>Otros Ingresos Corrientes</t>
  </si>
  <si>
    <t>Saldo Inicial de Caja</t>
  </si>
  <si>
    <t>Ingresado</t>
  </si>
  <si>
    <t>Por Ingresar</t>
  </si>
  <si>
    <t>FEBRERO</t>
  </si>
  <si>
    <t>Vehículos</t>
  </si>
  <si>
    <t>04</t>
  </si>
  <si>
    <t>05</t>
  </si>
  <si>
    <t>07</t>
  </si>
  <si>
    <t>Mobiliario y Otros</t>
  </si>
  <si>
    <t>Máquinas y Equipos</t>
  </si>
  <si>
    <t>Equipos Informáticos</t>
  </si>
  <si>
    <t>Programas Informáticos</t>
  </si>
  <si>
    <t>SEPTIEMBRE</t>
  </si>
  <si>
    <t>Recuperación y Reembolsos por Licencias</t>
  </si>
  <si>
    <t xml:space="preserve">Otros ingresos   </t>
  </si>
  <si>
    <t>Gasto en Personal</t>
  </si>
  <si>
    <t>Bienes y Servicios de Consumo</t>
  </si>
  <si>
    <t>Prestaciones de Seguridad Social</t>
  </si>
  <si>
    <t xml:space="preserve">Otros Gastos </t>
  </si>
  <si>
    <t>Inversión Real</t>
  </si>
  <si>
    <t>OCTUBRE</t>
  </si>
  <si>
    <t>NOVIEMBRE</t>
  </si>
  <si>
    <t>02</t>
  </si>
  <si>
    <t>Multas y Sanciones Pecuniarias</t>
  </si>
  <si>
    <t>AÑO</t>
  </si>
  <si>
    <t>MES</t>
  </si>
  <si>
    <t>PRESUPUESTO</t>
  </si>
  <si>
    <t>GASTO</t>
  </si>
  <si>
    <t>ACUMULADO</t>
  </si>
  <si>
    <t>PORCENTAJE EJECUCION</t>
  </si>
  <si>
    <t>TOTAL</t>
  </si>
  <si>
    <t>SALDO SIN EJECUTAR</t>
  </si>
  <si>
    <t>SIN EJECUTAR</t>
  </si>
  <si>
    <t>PRESUPUESTO 2011</t>
  </si>
  <si>
    <t>PRESUPUESTO 2012</t>
  </si>
  <si>
    <t>PRESUPUESTO 2013</t>
  </si>
  <si>
    <t>GASTO 2011</t>
  </si>
  <si>
    <t>GASTO 2012</t>
  </si>
  <si>
    <t>GASTO 2013</t>
  </si>
  <si>
    <t>PRESUPUESTO ANUAL</t>
  </si>
  <si>
    <t>EJECUCION</t>
  </si>
  <si>
    <t>PORCENTAJE INCREMENTO PPTO FINAL</t>
  </si>
  <si>
    <t>PRESUPUESTO 2014</t>
  </si>
  <si>
    <t>GASTO 2014</t>
  </si>
  <si>
    <t>% EJECUTADO</t>
  </si>
  <si>
    <t>GASTO 2015</t>
  </si>
  <si>
    <t>PRESUPUESTO 2015</t>
  </si>
  <si>
    <t>PRESUPUESTO 2016</t>
  </si>
  <si>
    <t>GASTO 2016</t>
  </si>
  <si>
    <t xml:space="preserve">Ingresos por Percibir </t>
  </si>
  <si>
    <t>PRESUPUESTO 2017</t>
  </si>
  <si>
    <t>PRESUPUESTO 2018</t>
  </si>
  <si>
    <t>GASTO 2017</t>
  </si>
  <si>
    <t>GASTO 2018</t>
  </si>
  <si>
    <t>PORCENTAJES EJECUTADOS</t>
  </si>
  <si>
    <t>PRESUPUESTO 2019</t>
  </si>
  <si>
    <t>GASTO 2019</t>
  </si>
  <si>
    <t>Ejecución Presupuestaria Programa 01 Funcionamiento historico</t>
  </si>
  <si>
    <t>Transferencias para gastos de Capital</t>
  </si>
  <si>
    <t xml:space="preserve">Gastos 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</si>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</sst>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;\(#,##0\)"/>
    <numFmt numFmtId="166" formatCode="_-* #,##0.00\ _€_-;\-* #,##0.00\ _€_-;_-* &quot;-&quot;??\ _€_-;_-@_-"/>
    <numFmt numFmtId="167" formatCode="_-* #,##0\ _P_t_a_-;\-* #,##0\ _P_t_a_-;_-* &quot;-&quot;\ _P_t_a_-;_-@_-"/>
    <numFmt numFmtId="168" formatCode="_-* #,##0.00\ _P_t_a_-;\-* #,##0.00\ _P_t_a_-;_-* &quot;-&quot;??\ _P_t_a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theme="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theme="3"/>
      </bottom>
      <diagonal/>
    </border>
    <border>
      <left/>
      <right/>
      <top style="medium">
        <color indexed="64"/>
      </top>
      <bottom style="double">
        <color theme="3"/>
      </bottom>
      <diagonal/>
    </border>
    <border>
      <left/>
      <right style="medium">
        <color indexed="64"/>
      </right>
      <top style="medium">
        <color indexed="64"/>
      </top>
      <bottom style="double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theme="3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4" fillId="0" borderId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164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8" fillId="0" borderId="0"/>
    <xf numFmtId="0" fontId="8" fillId="0" borderId="0"/>
    <xf numFmtId="0" fontId="4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3" fillId="0" borderId="0"/>
    <xf numFmtId="0" fontId="10" fillId="0" borderId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</cellStyleXfs>
  <cellXfs count="181">
    <xf numFmtId="0" fontId="0" fillId="0" borderId="0" xfId="0"/>
    <xf numFmtId="3" fontId="0" fillId="0" borderId="0" xfId="0" applyNumberFormat="1"/>
    <xf numFmtId="0" fontId="6" fillId="0" borderId="0" xfId="0" applyFont="1"/>
    <xf numFmtId="3" fontId="5" fillId="0" borderId="2" xfId="0" applyNumberFormat="1" applyFont="1" applyBorder="1"/>
    <xf numFmtId="0" fontId="0" fillId="2" borderId="0" xfId="0" applyFill="1"/>
    <xf numFmtId="0" fontId="9" fillId="2" borderId="0" xfId="0" applyFont="1" applyFill="1"/>
    <xf numFmtId="9" fontId="0" fillId="0" borderId="0" xfId="0" applyNumberFormat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/>
    <xf numFmtId="3" fontId="0" fillId="0" borderId="11" xfId="0" applyNumberFormat="1" applyBorder="1"/>
    <xf numFmtId="3" fontId="0" fillId="0" borderId="2" xfId="0" applyNumberFormat="1" applyBorder="1"/>
    <xf numFmtId="10" fontId="0" fillId="0" borderId="12" xfId="0" applyNumberFormat="1" applyBorder="1"/>
    <xf numFmtId="3" fontId="0" fillId="2" borderId="2" xfId="0" applyNumberFormat="1" applyFill="1" applyBorder="1"/>
    <xf numFmtId="10" fontId="0" fillId="2" borderId="12" xfId="0" applyNumberFormat="1" applyFill="1" applyBorder="1"/>
    <xf numFmtId="3" fontId="0" fillId="2" borderId="11" xfId="0" applyNumberFormat="1" applyFill="1" applyBorder="1"/>
    <xf numFmtId="0" fontId="9" fillId="3" borderId="13" xfId="0" applyFont="1" applyFill="1" applyBorder="1"/>
    <xf numFmtId="3" fontId="9" fillId="0" borderId="13" xfId="0" applyNumberFormat="1" applyFont="1" applyBorder="1"/>
    <xf numFmtId="3" fontId="9" fillId="0" borderId="5" xfId="0" applyNumberFormat="1" applyFont="1" applyBorder="1"/>
    <xf numFmtId="9" fontId="9" fillId="0" borderId="14" xfId="0" applyNumberFormat="1" applyFont="1" applyBorder="1"/>
    <xf numFmtId="3" fontId="9" fillId="4" borderId="13" xfId="0" applyNumberFormat="1" applyFont="1" applyFill="1" applyBorder="1"/>
    <xf numFmtId="3" fontId="9" fillId="4" borderId="5" xfId="0" applyNumberFormat="1" applyFont="1" applyFill="1" applyBorder="1"/>
    <xf numFmtId="10" fontId="9" fillId="4" borderId="14" xfId="0" applyNumberFormat="1" applyFont="1" applyFill="1" applyBorder="1"/>
    <xf numFmtId="0" fontId="9" fillId="2" borderId="2" xfId="0" applyFont="1" applyFill="1" applyBorder="1"/>
    <xf numFmtId="9" fontId="0" fillId="0" borderId="2" xfId="0" applyNumberFormat="1" applyBorder="1"/>
    <xf numFmtId="0" fontId="9" fillId="3" borderId="2" xfId="0" applyFont="1" applyFill="1" applyBorder="1" applyAlignment="1">
      <alignment wrapText="1"/>
    </xf>
    <xf numFmtId="10" fontId="0" fillId="2" borderId="2" xfId="0" applyNumberFormat="1" applyFill="1" applyBorder="1"/>
    <xf numFmtId="10" fontId="0" fillId="0" borderId="2" xfId="0" applyNumberFormat="1" applyBorder="1"/>
    <xf numFmtId="3" fontId="8" fillId="2" borderId="11" xfId="0" applyNumberFormat="1" applyFont="1" applyFill="1" applyBorder="1"/>
    <xf numFmtId="3" fontId="8" fillId="2" borderId="2" xfId="0" applyNumberFormat="1" applyFont="1" applyFill="1" applyBorder="1"/>
    <xf numFmtId="10" fontId="8" fillId="2" borderId="12" xfId="0" applyNumberFormat="1" applyFont="1" applyFill="1" applyBorder="1"/>
    <xf numFmtId="0" fontId="9" fillId="3" borderId="2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vertical="center" wrapText="1"/>
    </xf>
    <xf numFmtId="9" fontId="0" fillId="2" borderId="2" xfId="0" applyNumberFormat="1" applyFill="1" applyBorder="1"/>
    <xf numFmtId="9" fontId="0" fillId="2" borderId="12" xfId="0" applyNumberFormat="1" applyFill="1" applyBorder="1"/>
    <xf numFmtId="9" fontId="8" fillId="2" borderId="12" xfId="0" applyNumberFormat="1" applyFont="1" applyFill="1" applyBorder="1"/>
    <xf numFmtId="9" fontId="9" fillId="5" borderId="14" xfId="0" applyNumberFormat="1" applyFont="1" applyFill="1" applyBorder="1"/>
    <xf numFmtId="0" fontId="6" fillId="0" borderId="0" xfId="0" applyFont="1" applyAlignment="1">
      <alignment wrapText="1"/>
    </xf>
    <xf numFmtId="3" fontId="1" fillId="2" borderId="2" xfId="0" applyNumberFormat="1" applyFont="1" applyFill="1" applyBorder="1"/>
    <xf numFmtId="3" fontId="8" fillId="0" borderId="2" xfId="0" applyNumberFormat="1" applyFont="1" applyBorder="1"/>
    <xf numFmtId="3" fontId="0" fillId="2" borderId="9" xfId="0" applyNumberFormat="1" applyFill="1" applyBorder="1"/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left"/>
    </xf>
    <xf numFmtId="3" fontId="0" fillId="0" borderId="12" xfId="0" applyNumberFormat="1" applyBorder="1"/>
    <xf numFmtId="0" fontId="9" fillId="4" borderId="29" xfId="0" applyFont="1" applyFill="1" applyBorder="1" applyAlignment="1">
      <alignment horizontal="left"/>
    </xf>
    <xf numFmtId="3" fontId="9" fillId="4" borderId="26" xfId="0" applyNumberFormat="1" applyFont="1" applyFill="1" applyBorder="1"/>
    <xf numFmtId="3" fontId="5" fillId="4" borderId="26" xfId="0" applyNumberFormat="1" applyFont="1" applyFill="1" applyBorder="1"/>
    <xf numFmtId="3" fontId="5" fillId="4" borderId="28" xfId="0" applyNumberFormat="1" applyFont="1" applyFill="1" applyBorder="1"/>
    <xf numFmtId="3" fontId="0" fillId="2" borderId="12" xfId="0" applyNumberFormat="1" applyFill="1" applyBorder="1"/>
    <xf numFmtId="3" fontId="9" fillId="4" borderId="27" xfId="0" applyNumberFormat="1" applyFont="1" applyFill="1" applyBorder="1"/>
    <xf numFmtId="3" fontId="9" fillId="4" borderId="28" xfId="0" applyNumberFormat="1" applyFont="1" applyFill="1" applyBorder="1"/>
    <xf numFmtId="0" fontId="9" fillId="5" borderId="31" xfId="0" applyFont="1" applyFill="1" applyBorder="1" applyAlignment="1">
      <alignment horizontal="center" vertical="center" wrapText="1"/>
    </xf>
    <xf numFmtId="0" fontId="9" fillId="2" borderId="29" xfId="0" applyFont="1" applyFill="1" applyBorder="1"/>
    <xf numFmtId="0" fontId="9" fillId="2" borderId="26" xfId="0" applyFont="1" applyFill="1" applyBorder="1"/>
    <xf numFmtId="3" fontId="0" fillId="0" borderId="26" xfId="0" applyNumberFormat="1" applyBorder="1"/>
    <xf numFmtId="3" fontId="5" fillId="0" borderId="26" xfId="0" applyNumberFormat="1" applyFont="1" applyBorder="1"/>
    <xf numFmtId="9" fontId="0" fillId="2" borderId="28" xfId="0" applyNumberFormat="1" applyFill="1" applyBorder="1"/>
    <xf numFmtId="0" fontId="0" fillId="0" borderId="25" xfId="0" applyBorder="1"/>
    <xf numFmtId="0" fontId="7" fillId="3" borderId="0" xfId="0" applyFont="1" applyFill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5" fillId="3" borderId="32" xfId="0" applyFont="1" applyFill="1" applyBorder="1"/>
    <xf numFmtId="0" fontId="15" fillId="3" borderId="33" xfId="0" applyFont="1" applyFill="1" applyBorder="1" applyAlignment="1">
      <alignment horizontal="center"/>
    </xf>
    <xf numFmtId="0" fontId="15" fillId="3" borderId="34" xfId="0" applyFont="1" applyFill="1" applyBorder="1" applyAlignment="1">
      <alignment horizontal="center"/>
    </xf>
    <xf numFmtId="0" fontId="15" fillId="3" borderId="35" xfId="0" applyFont="1" applyFill="1" applyBorder="1" applyAlignment="1">
      <alignment horizontal="center"/>
    </xf>
    <xf numFmtId="0" fontId="15" fillId="3" borderId="36" xfId="0" applyFont="1" applyFill="1" applyBorder="1" applyAlignment="1">
      <alignment horizontal="center"/>
    </xf>
    <xf numFmtId="0" fontId="16" fillId="0" borderId="0" xfId="0" applyFont="1"/>
    <xf numFmtId="0" fontId="15" fillId="0" borderId="3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5" fillId="0" borderId="1" xfId="0" applyFont="1" applyBorder="1"/>
    <xf numFmtId="165" fontId="15" fillId="0" borderId="1" xfId="0" applyNumberFormat="1" applyFont="1" applyBorder="1"/>
    <xf numFmtId="165" fontId="15" fillId="0" borderId="8" xfId="0" applyNumberFormat="1" applyFont="1" applyBorder="1" applyAlignment="1">
      <alignment horizontal="right"/>
    </xf>
    <xf numFmtId="3" fontId="15" fillId="0" borderId="38" xfId="0" applyNumberFormat="1" applyFont="1" applyBorder="1"/>
    <xf numFmtId="0" fontId="17" fillId="0" borderId="3" xfId="0" applyFont="1" applyBorder="1" applyAlignment="1">
      <alignment horizontal="center"/>
    </xf>
    <xf numFmtId="0" fontId="15" fillId="0" borderId="3" xfId="0" applyFont="1" applyBorder="1"/>
    <xf numFmtId="165" fontId="15" fillId="0" borderId="3" xfId="0" applyNumberFormat="1" applyFont="1" applyBorder="1"/>
    <xf numFmtId="165" fontId="15" fillId="0" borderId="3" xfId="0" applyNumberFormat="1" applyFont="1" applyBorder="1" applyAlignment="1">
      <alignment horizontal="right"/>
    </xf>
    <xf numFmtId="0" fontId="17" fillId="0" borderId="1" xfId="0" applyFont="1" applyBorder="1" applyAlignment="1">
      <alignment horizontal="center"/>
    </xf>
    <xf numFmtId="165" fontId="15" fillId="0" borderId="1" xfId="0" applyNumberFormat="1" applyFont="1" applyBorder="1" applyAlignment="1">
      <alignment horizontal="right"/>
    </xf>
    <xf numFmtId="0" fontId="17" fillId="0" borderId="37" xfId="0" applyFont="1" applyBorder="1"/>
    <xf numFmtId="0" fontId="17" fillId="0" borderId="3" xfId="0" applyFont="1" applyBorder="1" applyAlignment="1">
      <alignment horizontal="right"/>
    </xf>
    <xf numFmtId="0" fontId="17" fillId="0" borderId="38" xfId="0" applyFont="1" applyBorder="1" applyAlignment="1">
      <alignment horizontal="center" vertical="justify"/>
    </xf>
    <xf numFmtId="0" fontId="15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3" fontId="17" fillId="0" borderId="1" xfId="0" applyNumberFormat="1" applyFont="1" applyBorder="1"/>
    <xf numFmtId="3" fontId="17" fillId="0" borderId="38" xfId="0" applyNumberFormat="1" applyFont="1" applyBorder="1"/>
    <xf numFmtId="0" fontId="17" fillId="0" borderId="37" xfId="0" applyFont="1" applyBorder="1" applyAlignment="1">
      <alignment horizontal="center"/>
    </xf>
    <xf numFmtId="0" fontId="17" fillId="0" borderId="1" xfId="0" applyFont="1" applyBorder="1"/>
    <xf numFmtId="3" fontId="17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center"/>
    </xf>
    <xf numFmtId="3" fontId="15" fillId="0" borderId="1" xfId="0" applyNumberFormat="1" applyFont="1" applyBorder="1"/>
    <xf numFmtId="3" fontId="15" fillId="0" borderId="4" xfId="0" applyNumberFormat="1" applyFont="1" applyBorder="1" applyAlignment="1">
      <alignment horizontal="right"/>
    </xf>
    <xf numFmtId="0" fontId="15" fillId="3" borderId="39" xfId="0" applyFont="1" applyFill="1" applyBorder="1"/>
    <xf numFmtId="49" fontId="15" fillId="3" borderId="40" xfId="0" applyNumberFormat="1" applyFont="1" applyFill="1" applyBorder="1" applyAlignment="1">
      <alignment horizontal="center"/>
    </xf>
    <xf numFmtId="0" fontId="15" fillId="3" borderId="41" xfId="0" applyFont="1" applyFill="1" applyBorder="1" applyAlignment="1">
      <alignment horizontal="center"/>
    </xf>
    <xf numFmtId="165" fontId="15" fillId="3" borderId="41" xfId="0" applyNumberFormat="1" applyFont="1" applyFill="1" applyBorder="1"/>
    <xf numFmtId="0" fontId="15" fillId="3" borderId="42" xfId="0" applyFont="1" applyFill="1" applyBorder="1"/>
    <xf numFmtId="0" fontId="15" fillId="3" borderId="43" xfId="0" applyFont="1" applyFill="1" applyBorder="1" applyAlignment="1">
      <alignment horizontal="center"/>
    </xf>
    <xf numFmtId="0" fontId="15" fillId="3" borderId="21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5" fillId="3" borderId="45" xfId="0" applyFont="1" applyFill="1" applyBorder="1" applyAlignment="1">
      <alignment horizontal="center"/>
    </xf>
    <xf numFmtId="0" fontId="17" fillId="0" borderId="46" xfId="0" applyFont="1" applyBorder="1" applyAlignment="1">
      <alignment horizontal="center"/>
    </xf>
    <xf numFmtId="165" fontId="15" fillId="2" borderId="1" xfId="0" applyNumberFormat="1" applyFont="1" applyFill="1" applyBorder="1"/>
    <xf numFmtId="9" fontId="15" fillId="0" borderId="47" xfId="0" applyNumberFormat="1" applyFont="1" applyBorder="1"/>
    <xf numFmtId="0" fontId="17" fillId="0" borderId="48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49" fontId="15" fillId="0" borderId="24" xfId="0" applyNumberFormat="1" applyFont="1" applyBorder="1" applyAlignment="1">
      <alignment horizontal="center"/>
    </xf>
    <xf numFmtId="3" fontId="17" fillId="2" borderId="1" xfId="0" applyNumberFormat="1" applyFont="1" applyFill="1" applyBorder="1"/>
    <xf numFmtId="0" fontId="17" fillId="2" borderId="1" xfId="0" applyFont="1" applyFill="1" applyBorder="1"/>
    <xf numFmtId="0" fontId="15" fillId="0" borderId="47" xfId="0" applyFont="1" applyBorder="1"/>
    <xf numFmtId="49" fontId="15" fillId="3" borderId="30" xfId="0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center"/>
    </xf>
    <xf numFmtId="165" fontId="15" fillId="3" borderId="5" xfId="0" applyNumberFormat="1" applyFont="1" applyFill="1" applyBorder="1"/>
    <xf numFmtId="165" fontId="15" fillId="3" borderId="51" xfId="0" applyNumberFormat="1" applyFont="1" applyFill="1" applyBorder="1"/>
    <xf numFmtId="9" fontId="15" fillId="3" borderId="12" xfId="0" applyNumberFormat="1" applyFont="1" applyFill="1" applyBorder="1"/>
    <xf numFmtId="0" fontId="15" fillId="3" borderId="0" xfId="0" applyFont="1" applyFill="1"/>
    <xf numFmtId="49" fontId="15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165" fontId="15" fillId="3" borderId="2" xfId="0" applyNumberFormat="1" applyFont="1" applyFill="1" applyBorder="1"/>
    <xf numFmtId="9" fontId="15" fillId="3" borderId="2" xfId="0" applyNumberFormat="1" applyFont="1" applyFill="1" applyBorder="1"/>
    <xf numFmtId="9" fontId="15" fillId="2" borderId="0" xfId="0" applyNumberFormat="1" applyFont="1" applyFill="1"/>
    <xf numFmtId="0" fontId="17" fillId="0" borderId="0" xfId="0" applyFont="1"/>
    <xf numFmtId="0" fontId="15" fillId="0" borderId="0" xfId="0" applyFont="1" applyAlignment="1">
      <alignment horizontal="center"/>
    </xf>
    <xf numFmtId="165" fontId="9" fillId="3" borderId="8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15" fillId="3" borderId="6" xfId="0" applyNumberFormat="1" applyFont="1" applyFill="1" applyBorder="1"/>
    <xf numFmtId="165" fontId="16" fillId="0" borderId="0" xfId="0" applyNumberFormat="1" applyFont="1"/>
    <xf numFmtId="165" fontId="17" fillId="0" borderId="0" xfId="0" applyNumberFormat="1" applyFont="1"/>
    <xf numFmtId="0" fontId="15" fillId="3" borderId="9" xfId="0" applyFont="1" applyFill="1" applyBorder="1" applyAlignment="1">
      <alignment horizontal="center" vertical="justify"/>
    </xf>
    <xf numFmtId="0" fontId="15" fillId="3" borderId="52" xfId="0" applyFont="1" applyFill="1" applyBorder="1" applyAlignment="1">
      <alignment horizontal="center" vertical="justify"/>
    </xf>
    <xf numFmtId="0" fontId="15" fillId="3" borderId="53" xfId="0" applyFont="1" applyFill="1" applyBorder="1" applyAlignment="1">
      <alignment horizontal="center" vertical="justify"/>
    </xf>
    <xf numFmtId="9" fontId="18" fillId="3" borderId="2" xfId="0" applyNumberFormat="1" applyFont="1" applyFill="1" applyBorder="1"/>
    <xf numFmtId="9" fontId="14" fillId="2" borderId="8" xfId="0" applyNumberFormat="1" applyFont="1" applyFill="1" applyBorder="1"/>
    <xf numFmtId="10" fontId="16" fillId="0" borderId="0" xfId="0" applyNumberFormat="1" applyFont="1" applyBorder="1"/>
    <xf numFmtId="0" fontId="19" fillId="0" borderId="0" xfId="0" applyFont="1" applyAlignment="1">
      <alignment horizontal="center"/>
    </xf>
    <xf numFmtId="9" fontId="14" fillId="2" borderId="0" xfId="0" applyNumberFormat="1" applyFont="1" applyFill="1" applyBorder="1"/>
    <xf numFmtId="10" fontId="14" fillId="2" borderId="0" xfId="0" applyNumberFormat="1" applyFont="1" applyFill="1" applyBorder="1" applyAlignment="1">
      <alignment horizontal="center" vertical="justify"/>
    </xf>
    <xf numFmtId="10" fontId="17" fillId="0" borderId="0" xfId="0" applyNumberFormat="1" applyFont="1" applyBorder="1"/>
    <xf numFmtId="10" fontId="14" fillId="2" borderId="0" xfId="0" applyNumberFormat="1" applyFont="1" applyFill="1" applyBorder="1" applyAlignment="1">
      <alignment horizontal="center"/>
    </xf>
    <xf numFmtId="0" fontId="17" fillId="0" borderId="0" xfId="0" applyFont="1" applyBorder="1"/>
    <xf numFmtId="3" fontId="17" fillId="0" borderId="0" xfId="0" applyNumberFormat="1" applyFont="1"/>
    <xf numFmtId="9" fontId="14" fillId="2" borderId="0" xfId="0" applyNumberFormat="1" applyFont="1" applyFill="1" applyBorder="1" applyAlignment="1">
      <alignment horizontal="center"/>
    </xf>
    <xf numFmtId="165" fontId="14" fillId="2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9" fontId="14" fillId="2" borderId="2" xfId="0" applyNumberFormat="1" applyFont="1" applyFill="1" applyBorder="1"/>
    <xf numFmtId="10" fontId="14" fillId="2" borderId="2" xfId="0" applyNumberFormat="1" applyFont="1" applyFill="1" applyBorder="1" applyAlignment="1">
      <alignment horizontal="center" vertical="justify"/>
    </xf>
    <xf numFmtId="10" fontId="17" fillId="0" borderId="0" xfId="0" applyNumberFormat="1" applyFont="1"/>
    <xf numFmtId="10" fontId="14" fillId="2" borderId="2" xfId="0" applyNumberFormat="1" applyFont="1" applyFill="1" applyBorder="1" applyAlignment="1">
      <alignment horizontal="center"/>
    </xf>
    <xf numFmtId="9" fontId="14" fillId="2" borderId="2" xfId="0" applyNumberFormat="1" applyFont="1" applyFill="1" applyBorder="1" applyAlignment="1">
      <alignment horizontal="center"/>
    </xf>
    <xf numFmtId="165" fontId="14" fillId="2" borderId="2" xfId="0" applyNumberFormat="1" applyFont="1" applyFill="1" applyBorder="1" applyAlignment="1">
      <alignment horizontal="center"/>
    </xf>
    <xf numFmtId="9" fontId="15" fillId="3" borderId="5" xfId="0" applyNumberFormat="1" applyFont="1" applyFill="1" applyBorder="1"/>
    <xf numFmtId="3" fontId="15" fillId="2" borderId="1" xfId="0" applyNumberFormat="1" applyFont="1" applyFill="1" applyBorder="1"/>
    <xf numFmtId="0" fontId="15" fillId="3" borderId="2" xfId="0" applyFont="1" applyFill="1" applyBorder="1" applyAlignment="1">
      <alignment horizontal="right" vertical="justify"/>
    </xf>
    <xf numFmtId="9" fontId="17" fillId="0" borderId="2" xfId="0" applyNumberFormat="1" applyFont="1" applyBorder="1"/>
    <xf numFmtId="10" fontId="17" fillId="0" borderId="2" xfId="0" applyNumberFormat="1" applyFont="1" applyBorder="1" applyAlignment="1">
      <alignment horizontal="center" vertical="justify"/>
    </xf>
    <xf numFmtId="10" fontId="17" fillId="0" borderId="2" xfId="0" applyNumberFormat="1" applyFont="1" applyBorder="1" applyAlignment="1">
      <alignment horizontal="center"/>
    </xf>
    <xf numFmtId="9" fontId="17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165" fontId="9" fillId="3" borderId="50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right" vertical="justify"/>
    </xf>
    <xf numFmtId="165" fontId="17" fillId="3" borderId="0" xfId="0" applyNumberFormat="1" applyFont="1" applyFill="1"/>
    <xf numFmtId="0" fontId="17" fillId="3" borderId="0" xfId="0" applyFont="1" applyFill="1"/>
    <xf numFmtId="0" fontId="17" fillId="0" borderId="2" xfId="0" applyFont="1" applyBorder="1" applyAlignment="1">
      <alignment horizontal="center" vertical="justify"/>
    </xf>
    <xf numFmtId="165" fontId="17" fillId="0" borderId="2" xfId="0" applyNumberFormat="1" applyFont="1" applyBorder="1"/>
    <xf numFmtId="0" fontId="17" fillId="0" borderId="2" xfId="0" applyFont="1" applyBorder="1"/>
    <xf numFmtId="165" fontId="17" fillId="0" borderId="2" xfId="0" applyNumberFormat="1" applyFont="1" applyBorder="1" applyAlignment="1">
      <alignment horizontal="center"/>
    </xf>
    <xf numFmtId="165" fontId="15" fillId="3" borderId="49" xfId="0" applyNumberFormat="1" applyFont="1" applyFill="1" applyBorder="1"/>
    <xf numFmtId="9" fontId="15" fillId="3" borderId="3" xfId="0" applyNumberFormat="1" applyFont="1" applyFill="1" applyBorder="1"/>
    <xf numFmtId="9" fontId="15" fillId="3" borderId="0" xfId="0" applyNumberFormat="1" applyFont="1" applyFill="1"/>
    <xf numFmtId="0" fontId="15" fillId="2" borderId="0" xfId="0" applyFont="1" applyFill="1" applyAlignment="1">
      <alignment horizontal="center"/>
    </xf>
    <xf numFmtId="1" fontId="15" fillId="0" borderId="0" xfId="0" applyNumberFormat="1" applyFont="1"/>
    <xf numFmtId="3" fontId="15" fillId="0" borderId="0" xfId="0" applyNumberFormat="1" applyFont="1" applyAlignment="1">
      <alignment horizontal="center"/>
    </xf>
  </cellXfs>
  <cellStyles count="35">
    <cellStyle name="Millares [0] 3" xfId="23" xr:uid="{00000000-0005-0000-0000-000000000000}"/>
    <cellStyle name="Millares 2" xfId="2" xr:uid="{00000000-0005-0000-0000-000001000000}"/>
    <cellStyle name="Millares 2 2" xfId="3" xr:uid="{00000000-0005-0000-0000-000002000000}"/>
    <cellStyle name="Millares 2 3" xfId="11" xr:uid="{00000000-0005-0000-0000-000003000000}"/>
    <cellStyle name="Millares 3" xfId="4" xr:uid="{00000000-0005-0000-0000-000004000000}"/>
    <cellStyle name="Millares 3 2" xfId="5" xr:uid="{00000000-0005-0000-0000-000005000000}"/>
    <cellStyle name="Millares 4" xfId="12" xr:uid="{00000000-0005-0000-0000-000006000000}"/>
    <cellStyle name="Millares 5" xfId="10" xr:uid="{00000000-0005-0000-0000-000007000000}"/>
    <cellStyle name="Millares 6" xfId="24" xr:uid="{00000000-0005-0000-0000-000008000000}"/>
    <cellStyle name="Millares 7" xfId="25" xr:uid="{00000000-0005-0000-0000-000009000000}"/>
    <cellStyle name="Millares 8" xfId="26" xr:uid="{00000000-0005-0000-0000-00000A000000}"/>
    <cellStyle name="Millares 9" xfId="27" xr:uid="{00000000-0005-0000-0000-00000B000000}"/>
    <cellStyle name="Normal" xfId="0" builtinId="0"/>
    <cellStyle name="Normal 10" xfId="34" xr:uid="{00000000-0005-0000-0000-00000D000000}"/>
    <cellStyle name="Normal 2" xfId="6" xr:uid="{00000000-0005-0000-0000-00000E000000}"/>
    <cellStyle name="Normal 2 3" xfId="13" xr:uid="{00000000-0005-0000-0000-00000F000000}"/>
    <cellStyle name="Normal 3" xfId="7" xr:uid="{00000000-0005-0000-0000-000010000000}"/>
    <cellStyle name="Normal 3 2" xfId="8" xr:uid="{00000000-0005-0000-0000-000011000000}"/>
    <cellStyle name="Normal 4" xfId="14" xr:uid="{00000000-0005-0000-0000-000012000000}"/>
    <cellStyle name="Normal 5" xfId="9" xr:uid="{00000000-0005-0000-0000-000013000000}"/>
    <cellStyle name="Normal 5 2" xfId="15" xr:uid="{00000000-0005-0000-0000-000014000000}"/>
    <cellStyle name="Normal 5 3" xfId="20" xr:uid="{00000000-0005-0000-0000-000015000000}"/>
    <cellStyle name="Normal 6" xfId="16" xr:uid="{00000000-0005-0000-0000-000016000000}"/>
    <cellStyle name="Normal 7" xfId="18" xr:uid="{00000000-0005-0000-0000-000017000000}"/>
    <cellStyle name="Normal 8" xfId="1" xr:uid="{00000000-0005-0000-0000-000018000000}"/>
    <cellStyle name="Normal 9" xfId="19" xr:uid="{00000000-0005-0000-0000-000019000000}"/>
    <cellStyle name="Porcentaje 2" xfId="21" xr:uid="{00000000-0005-0000-0000-00001A000000}"/>
    <cellStyle name="Porcentaje 3" xfId="33" xr:uid="{00000000-0005-0000-0000-00001B000000}"/>
    <cellStyle name="Porcentual 2" xfId="17" xr:uid="{00000000-0005-0000-0000-00001C000000}"/>
    <cellStyle name="Porcentual 2 2" xfId="22" xr:uid="{00000000-0005-0000-0000-00001D000000}"/>
    <cellStyle name="Porcentual 3" xfId="28" xr:uid="{00000000-0005-0000-0000-00001E000000}"/>
    <cellStyle name="Porcentual 4" xfId="29" xr:uid="{00000000-0005-0000-0000-00001F000000}"/>
    <cellStyle name="Porcentual 5" xfId="30" xr:uid="{00000000-0005-0000-0000-000020000000}"/>
    <cellStyle name="Porcentual 6" xfId="31" xr:uid="{00000000-0005-0000-0000-000021000000}"/>
    <cellStyle name="Porcentual 7" xfId="32" xr:uid="{00000000-0005-0000-0000-000022000000}"/>
  </cellStyles>
  <dxfs count="0"/>
  <tableStyles count="0" defaultTableStyle="TableStyleMedium9" defaultPivotStyle="PivotStyleLight16"/>
  <colors>
    <mruColors>
      <color rgb="FFB6F4FC"/>
      <color rgb="FFCCFFFF"/>
      <color rgb="FF8BF650"/>
      <color rgb="FFFF5757"/>
      <color rgb="FF4AABC6"/>
      <color rgb="FFFF99FF"/>
      <color rgb="FFFF66FF"/>
      <color rgb="FF57FFA3"/>
      <color rgb="FF99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PRESUPUESTO COMPARADO POR AÑOS</a:t>
            </a:r>
          </a:p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PROGRAMA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COMPARADOS!$B$137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COMPARADOS!$C$137</c:f>
              <c:numCache>
                <c:formatCode>#,##0</c:formatCode>
                <c:ptCount val="1"/>
                <c:pt idx="0">
                  <c:v>3008413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3B-422F-9044-9792126D4D4F}"/>
            </c:ext>
          </c:extLst>
        </c:ser>
        <c:ser>
          <c:idx val="2"/>
          <c:order val="1"/>
          <c:tx>
            <c:strRef>
              <c:f>COMPARADOS!$B$138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COMPARADOS!$C$138</c:f>
              <c:numCache>
                <c:formatCode>#,##0</c:formatCode>
                <c:ptCount val="1"/>
                <c:pt idx="0">
                  <c:v>3601321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3B-422F-9044-9792126D4D4F}"/>
            </c:ext>
          </c:extLst>
        </c:ser>
        <c:ser>
          <c:idx val="3"/>
          <c:order val="2"/>
          <c:tx>
            <c:strRef>
              <c:f>COMPARADOS!$B$139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COMPARADOS!$C$139</c:f>
              <c:numCache>
                <c:formatCode>#,##0</c:formatCode>
                <c:ptCount val="1"/>
                <c:pt idx="0">
                  <c:v>3415592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3B-422F-9044-9792126D4D4F}"/>
            </c:ext>
          </c:extLst>
        </c:ser>
        <c:ser>
          <c:idx val="4"/>
          <c:order val="3"/>
          <c:tx>
            <c:strRef>
              <c:f>COMPARADOS!$B$140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COMPARADOS!$C$140</c:f>
              <c:numCache>
                <c:formatCode>#,##0</c:formatCode>
                <c:ptCount val="1"/>
                <c:pt idx="0">
                  <c:v>3570016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B-422F-9044-9792126D4D4F}"/>
            </c:ext>
          </c:extLst>
        </c:ser>
        <c:ser>
          <c:idx val="5"/>
          <c:order val="4"/>
          <c:tx>
            <c:strRef>
              <c:f>COMPARADOS!$B$141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COMPARADOS!$C$141</c:f>
              <c:numCache>
                <c:formatCode>#,##0</c:formatCode>
                <c:ptCount val="1"/>
                <c:pt idx="0">
                  <c:v>4110701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E3B-422F-9044-9792126D4D4F}"/>
            </c:ext>
          </c:extLst>
        </c:ser>
        <c:ser>
          <c:idx val="6"/>
          <c:order val="5"/>
          <c:tx>
            <c:strRef>
              <c:f>COMPARADOS!$B$142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COMPARADOS!$C$142</c:f>
              <c:numCache>
                <c:formatCode>#,##0</c:formatCode>
                <c:ptCount val="1"/>
                <c:pt idx="0">
                  <c:v>4430948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E3B-422F-9044-9792126D4D4F}"/>
            </c:ext>
          </c:extLst>
        </c:ser>
        <c:ser>
          <c:idx val="0"/>
          <c:order val="6"/>
          <c:tx>
            <c:strRef>
              <c:f>COMPARADOS!$B$143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COMPARADOS!$C$143</c:f>
              <c:numCache>
                <c:formatCode>#,##0</c:formatCode>
                <c:ptCount val="1"/>
                <c:pt idx="0">
                  <c:v>4639823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D-4E75-BEA2-BA76BD4C05E6}"/>
            </c:ext>
          </c:extLst>
        </c:ser>
        <c:ser>
          <c:idx val="7"/>
          <c:order val="7"/>
          <c:tx>
            <c:strRef>
              <c:f>COMPARADOS!$B$144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COMPARADOS!$C$144</c:f>
              <c:numCache>
                <c:formatCode>#,##0</c:formatCode>
                <c:ptCount val="1"/>
                <c:pt idx="0">
                  <c:v>4674930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5D-4E75-BEA2-BA76BD4C05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199808"/>
        <c:axId val="214096064"/>
        <c:axId val="0"/>
      </c:bar3DChart>
      <c:catAx>
        <c:axId val="214199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4096064"/>
        <c:crosses val="autoZero"/>
        <c:auto val="1"/>
        <c:lblAlgn val="ctr"/>
        <c:lblOffset val="100"/>
        <c:noMultiLvlLbl val="0"/>
      </c:catAx>
      <c:valAx>
        <c:axId val="21409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41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15339591447866174"/>
          <c:w val="0.6060415573053417"/>
          <c:h val="0.7162085166400492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B06-4582-BA6C-8AE8F99CB0F8}"/>
            </c:ext>
          </c:extLst>
        </c:ser>
        <c:ser>
          <c:idx val="1"/>
          <c:order val="1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B06-4582-BA6C-8AE8F99CB0F8}"/>
            </c:ext>
          </c:extLst>
        </c:ser>
        <c:ser>
          <c:idx val="2"/>
          <c:order val="2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B06-4582-BA6C-8AE8F99CB0F8}"/>
            </c:ext>
          </c:extLst>
        </c:ser>
        <c:ser>
          <c:idx val="3"/>
          <c:order val="3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B06-4582-BA6C-8AE8F99CB0F8}"/>
            </c:ext>
          </c:extLst>
        </c:ser>
        <c:ser>
          <c:idx val="4"/>
          <c:order val="4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B06-4582-BA6C-8AE8F99CB0F8}"/>
            </c:ext>
          </c:extLst>
        </c:ser>
        <c:ser>
          <c:idx val="5"/>
          <c:order val="5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AB06-4582-BA6C-8AE8F99CB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14022656"/>
        <c:axId val="213866688"/>
        <c:axId val="0"/>
      </c:bar3DChart>
      <c:catAx>
        <c:axId val="21402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66688"/>
        <c:crosses val="autoZero"/>
        <c:auto val="1"/>
        <c:lblAlgn val="ctr"/>
        <c:lblOffset val="100"/>
        <c:noMultiLvlLbl val="0"/>
      </c:catAx>
      <c:valAx>
        <c:axId val="21386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4022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45437087659643"/>
          <c:y val="0.26334519572953735"/>
          <c:w val="0.1907761215382672"/>
          <c:h val="0.4590747330960853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Presupuestaria Programa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Subtítulo 29 Inversión Real</a:t>
            </a:r>
          </a:p>
        </c:rich>
      </c:tx>
      <c:layout>
        <c:manualLayout>
          <c:xMode val="edge"/>
          <c:yMode val="edge"/>
          <c:x val="8.8948483949966545E-2"/>
          <c:y val="2.3368578927634037E-2"/>
        </c:manualLayout>
      </c:layout>
      <c:overlay val="1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3"/>
          <c:w val="0.60604155730534104"/>
          <c:h val="0.77314814814815236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8.7259009058408086E-3"/>
                  <c:y val="-5.33078225034954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4F-46E6-AB22-9C912AF6A039}"/>
                </c:ext>
              </c:extLst>
            </c:dLbl>
            <c:dLbl>
              <c:idx val="1"/>
              <c:layout>
                <c:manualLayout>
                  <c:x val="-5.8126466782181474E-2"/>
                  <c:y val="-5.815365369048495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4F-46E6-AB22-9C912AF6A039}"/>
                </c:ext>
              </c:extLst>
            </c:dLbl>
            <c:dLbl>
              <c:idx val="2"/>
              <c:layout>
                <c:manualLayout>
                  <c:x val="5.3001995920426669E-2"/>
                  <c:y val="3.27360365001104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4F-46E6-AB22-9C912AF6A0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14F-46E6-AB22-9C912AF6A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88790783997187"/>
          <c:y val="0.267857517810275"/>
          <c:w val="0.19037678867547414"/>
          <c:h val="0.46071503562054744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Ejecución Presupuestaria Programa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L" sz="16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Subtítulo 29 Inversión Real</a:t>
            </a:r>
          </a:p>
        </c:rich>
      </c:tx>
      <c:layout>
        <c:manualLayout>
          <c:xMode val="edge"/>
          <c:yMode val="edge"/>
          <c:x val="8.8948535521110206E-2"/>
          <c:y val="2.3368578927634037E-2"/>
        </c:manualLayout>
      </c:layout>
      <c:overlay val="1"/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9"/>
          <c:w val="0.60604155730534126"/>
          <c:h val="0.77314814814815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16C-403E-B07F-F0F9D3DB639E}"/>
            </c:ext>
          </c:extLst>
        </c:ser>
        <c:ser>
          <c:idx val="1"/>
          <c:order val="1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16C-403E-B07F-F0F9D3DB639E}"/>
            </c:ext>
          </c:extLst>
        </c:ser>
        <c:ser>
          <c:idx val="2"/>
          <c:order val="2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16C-403E-B07F-F0F9D3DB639E}"/>
            </c:ext>
          </c:extLst>
        </c:ser>
        <c:ser>
          <c:idx val="3"/>
          <c:order val="3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F16C-403E-B07F-F0F9D3DB639E}"/>
            </c:ext>
          </c:extLst>
        </c:ser>
        <c:ser>
          <c:idx val="4"/>
          <c:order val="4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F16C-403E-B07F-F0F9D3DB639E}"/>
            </c:ext>
          </c:extLst>
        </c:ser>
        <c:ser>
          <c:idx val="5"/>
          <c:order val="5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F16C-403E-B07F-F0F9D3DB6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14197760"/>
        <c:axId val="214093184"/>
        <c:axId val="0"/>
      </c:bar3DChart>
      <c:catAx>
        <c:axId val="214197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4093184"/>
        <c:crosses val="autoZero"/>
        <c:auto val="1"/>
        <c:lblAlgn val="ctr"/>
        <c:lblOffset val="100"/>
        <c:noMultiLvlLbl val="0"/>
      </c:catAx>
      <c:valAx>
        <c:axId val="21409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141977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45437087659643"/>
          <c:y val="0.267857517810275"/>
          <c:w val="0.1907761215382672"/>
          <c:h val="0.46071503562054744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GASTO COMPARADO POR AÑOS</a:t>
            </a:r>
          </a:p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PROGRAMA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COMPARADOS!$B$137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COMPARADOS!$D$137</c:f>
              <c:numCache>
                <c:formatCode>#,##0</c:formatCode>
                <c:ptCount val="1"/>
                <c:pt idx="0">
                  <c:v>2878657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41-431D-A93B-0ABA25E4991C}"/>
            </c:ext>
          </c:extLst>
        </c:ser>
        <c:ser>
          <c:idx val="2"/>
          <c:order val="1"/>
          <c:tx>
            <c:strRef>
              <c:f>COMPARADOS!$B$138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COMPARADOS!$D$138</c:f>
              <c:numCache>
                <c:formatCode>#,##0</c:formatCode>
                <c:ptCount val="1"/>
                <c:pt idx="0">
                  <c:v>3514021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41-431D-A93B-0ABA25E4991C}"/>
            </c:ext>
          </c:extLst>
        </c:ser>
        <c:ser>
          <c:idx val="3"/>
          <c:order val="2"/>
          <c:tx>
            <c:strRef>
              <c:f>COMPARADOS!$B$139</c:f>
              <c:strCache>
                <c:ptCount val="1"/>
                <c:pt idx="0">
                  <c:v>2013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COMPARADOS!$D$139</c:f>
              <c:numCache>
                <c:formatCode>#,##0</c:formatCode>
                <c:ptCount val="1"/>
                <c:pt idx="0">
                  <c:v>3348232.6520000007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41-431D-A93B-0ABA25E4991C}"/>
            </c:ext>
          </c:extLst>
        </c:ser>
        <c:ser>
          <c:idx val="4"/>
          <c:order val="3"/>
          <c:tx>
            <c:strRef>
              <c:f>COMPARADOS!$B$140</c:f>
              <c:strCache>
                <c:ptCount val="1"/>
                <c:pt idx="0">
                  <c:v>2014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COMPARADOS!$D$140</c:f>
              <c:numCache>
                <c:formatCode>#,##0</c:formatCode>
                <c:ptCount val="1"/>
                <c:pt idx="0">
                  <c:v>3556593.7520000003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41-431D-A93B-0ABA25E4991C}"/>
            </c:ext>
          </c:extLst>
        </c:ser>
        <c:ser>
          <c:idx val="5"/>
          <c:order val="4"/>
          <c:tx>
            <c:strRef>
              <c:f>COMPARADOS!$B$141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COMPARADOS!$D$141</c:f>
              <c:numCache>
                <c:formatCode>#,##0</c:formatCode>
                <c:ptCount val="1"/>
                <c:pt idx="0">
                  <c:v>4059498.8309999998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641-431D-A93B-0ABA25E4991C}"/>
            </c:ext>
          </c:extLst>
        </c:ser>
        <c:ser>
          <c:idx val="6"/>
          <c:order val="5"/>
          <c:tx>
            <c:strRef>
              <c:f>COMPARADOS!$B$142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COMPARADOS!$D$142</c:f>
              <c:numCache>
                <c:formatCode>#,##0</c:formatCode>
                <c:ptCount val="1"/>
                <c:pt idx="0">
                  <c:v>4276621.2110000001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641-431D-A93B-0ABA25E4991C}"/>
            </c:ext>
          </c:extLst>
        </c:ser>
        <c:ser>
          <c:idx val="0"/>
          <c:order val="6"/>
          <c:tx>
            <c:strRef>
              <c:f>COMPARADOS!$B$143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COMPARADOS!$D$143</c:f>
              <c:numCache>
                <c:formatCode>#,##0</c:formatCode>
                <c:ptCount val="1"/>
                <c:pt idx="0">
                  <c:v>4597372.972000001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641-431D-A93B-0ABA25E4991C}"/>
            </c:ext>
          </c:extLst>
        </c:ser>
        <c:ser>
          <c:idx val="7"/>
          <c:order val="7"/>
          <c:tx>
            <c:strRef>
              <c:f>COMPARADOS!$B$144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COMPARADOS!$D$144</c:f>
              <c:numCache>
                <c:formatCode>#,##0</c:formatCode>
                <c:ptCount val="1"/>
                <c:pt idx="0">
                  <c:v>4644031.5949999997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641-431D-A93B-0ABA25E499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4199808"/>
        <c:axId val="214096064"/>
        <c:axId val="0"/>
      </c:bar3DChart>
      <c:catAx>
        <c:axId val="2141998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4096064"/>
        <c:crosses val="autoZero"/>
        <c:auto val="1"/>
        <c:lblAlgn val="ctr"/>
        <c:lblOffset val="100"/>
        <c:noMultiLvlLbl val="0"/>
      </c:catAx>
      <c:valAx>
        <c:axId val="21409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141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863613730007523E-2"/>
          <c:y val="0.17850923506951424"/>
          <c:w val="0.60585445929752446"/>
          <c:h val="0.7729119242925266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(#REF!,#REF!)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F4-4D3D-A4F4-AE0A04F0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31941544885265"/>
          <c:y val="0.26950466298095915"/>
          <c:w val="0.18044607214795824"/>
          <c:h val="0.40077913943983928"/>
        </c:manualLayout>
      </c:layout>
      <c:overlay val="0"/>
      <c:txPr>
        <a:bodyPr/>
        <a:lstStyle/>
        <a:p>
          <a:pPr rtl="0"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863613730007537E-2"/>
          <c:y val="0.17850923506951424"/>
          <c:w val="0.60585445929752479"/>
          <c:h val="0.7729119242925266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FC-4DD6-A3B1-38379D694027}"/>
            </c:ext>
          </c:extLst>
        </c:ser>
        <c:ser>
          <c:idx val="1"/>
          <c:order val="1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0FC-4DD6-A3B1-38379D694027}"/>
            </c:ext>
          </c:extLst>
        </c:ser>
        <c:ser>
          <c:idx val="2"/>
          <c:order val="2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0FC-4DD6-A3B1-38379D694027}"/>
            </c:ext>
          </c:extLst>
        </c:ser>
        <c:ser>
          <c:idx val="3"/>
          <c:order val="3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0FC-4DD6-A3B1-38379D694027}"/>
            </c:ext>
          </c:extLst>
        </c:ser>
        <c:ser>
          <c:idx val="4"/>
          <c:order val="4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0FC-4DD6-A3B1-38379D694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01143296"/>
        <c:axId val="201970176"/>
        <c:axId val="0"/>
      </c:bar3DChart>
      <c:catAx>
        <c:axId val="201143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1970176"/>
        <c:crosses val="autoZero"/>
        <c:auto val="1"/>
        <c:lblAlgn val="ctr"/>
        <c:lblOffset val="100"/>
        <c:noMultiLvlLbl val="0"/>
      </c:catAx>
      <c:valAx>
        <c:axId val="20197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114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079585763077154"/>
          <c:y val="0.26241209210550831"/>
          <c:w val="0.19037678867547214"/>
          <c:h val="0.45744829768619244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798"/>
          <c:w val="0.60604155730534082"/>
          <c:h val="0.7731481481481521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515-4448-8922-5302C3089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88790783997187"/>
          <c:y val="0.26164949811381105"/>
          <c:w val="0.19037678867547414"/>
          <c:h val="0.4623670965860450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3"/>
          <c:w val="0.60604155730534104"/>
          <c:h val="0.7731481481481523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12-485B-AB34-45718A7AA05E}"/>
            </c:ext>
          </c:extLst>
        </c:ser>
        <c:ser>
          <c:idx val="1"/>
          <c:order val="1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812-485B-AB34-45718A7AA05E}"/>
            </c:ext>
          </c:extLst>
        </c:ser>
        <c:ser>
          <c:idx val="2"/>
          <c:order val="2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812-485B-AB34-45718A7AA05E}"/>
            </c:ext>
          </c:extLst>
        </c:ser>
        <c:ser>
          <c:idx val="3"/>
          <c:order val="3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812-485B-AB34-45718A7AA05E}"/>
            </c:ext>
          </c:extLst>
        </c:ser>
        <c:ser>
          <c:idx val="4"/>
          <c:order val="4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812-485B-AB34-45718A7AA05E}"/>
            </c:ext>
          </c:extLst>
        </c:ser>
        <c:ser>
          <c:idx val="5"/>
          <c:order val="5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812-485B-AB34-45718A7AA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02314752"/>
        <c:axId val="202286784"/>
        <c:axId val="0"/>
      </c:bar3DChart>
      <c:catAx>
        <c:axId val="20231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2286784"/>
        <c:crosses val="autoZero"/>
        <c:auto val="1"/>
        <c:lblAlgn val="ctr"/>
        <c:lblOffset val="100"/>
        <c:noMultiLvlLbl val="0"/>
      </c:catAx>
      <c:valAx>
        <c:axId val="20228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2314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45437087659643"/>
          <c:y val="0.26164949811381105"/>
          <c:w val="0.1907761215382672"/>
          <c:h val="0.46236709658604508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3"/>
          <c:w val="0.60604155730534104"/>
          <c:h val="0.7731481481481523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E04-4AE9-8339-9F01DD9E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88790783997187"/>
          <c:y val="0.26428608923884733"/>
          <c:w val="0.19037678867547414"/>
          <c:h val="0.4607150356205467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9"/>
          <c:w val="0.60604155730534126"/>
          <c:h val="0.7731481481481528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CD9-463D-A7EE-0D2EFC8BC4B0}"/>
            </c:ext>
          </c:extLst>
        </c:ser>
        <c:ser>
          <c:idx val="1"/>
          <c:order val="1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3CD9-463D-A7EE-0D2EFC8BC4B0}"/>
            </c:ext>
          </c:extLst>
        </c:ser>
        <c:ser>
          <c:idx val="2"/>
          <c:order val="2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3CD9-463D-A7EE-0D2EFC8BC4B0}"/>
            </c:ext>
          </c:extLst>
        </c:ser>
        <c:ser>
          <c:idx val="3"/>
          <c:order val="3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3CD9-463D-A7EE-0D2EFC8BC4B0}"/>
            </c:ext>
          </c:extLst>
        </c:ser>
        <c:ser>
          <c:idx val="4"/>
          <c:order val="4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3CD9-463D-A7EE-0D2EFC8BC4B0}"/>
            </c:ext>
          </c:extLst>
        </c:ser>
        <c:ser>
          <c:idx val="5"/>
          <c:order val="5"/>
          <c:invertIfNegative val="0"/>
          <c:cat>
            <c:numLit>
              <c:formatCode>General</c:formatCode>
              <c:ptCount val="1"/>
              <c:pt idx="0">
                <c:v>2011</c:v>
              </c:pt>
            </c:numLit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3CD9-463D-A7EE-0D2EFC8B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202437632"/>
        <c:axId val="213860352"/>
        <c:axId val="0"/>
      </c:bar3DChart>
      <c:catAx>
        <c:axId val="20243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3860352"/>
        <c:crosses val="autoZero"/>
        <c:auto val="1"/>
        <c:lblAlgn val="ctr"/>
        <c:lblOffset val="100"/>
        <c:noMultiLvlLbl val="0"/>
      </c:catAx>
      <c:valAx>
        <c:axId val="21386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20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45437087659643"/>
          <c:y val="0.267857517810275"/>
          <c:w val="0.1907761215382672"/>
          <c:h val="0.46071503562054744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653543307086621E-2"/>
          <c:y val="0.22453703703703809"/>
          <c:w val="0.60604155730534126"/>
          <c:h val="0.7731481481481528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(#REF!,#REF!,#REF!,#REF!,#REF!,#REF!)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029-4D0B-B233-34076BF7D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88790783997187"/>
          <c:y val="0.2597864768683274"/>
          <c:w val="0.19037678867547414"/>
          <c:h val="0.45907473309608582"/>
        </c:manualLayout>
      </c:layout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389" l="0.70000000000000062" r="0.70000000000000062" t="0.75000000000000389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476166</xdr:colOff>
      <xdr:row>0</xdr:row>
      <xdr:rowOff>0</xdr:rowOff>
    </xdr:from>
    <xdr:to>
      <xdr:col>18</xdr:col>
      <xdr:colOff>1800</xdr:colOff>
      <xdr:row>4</xdr:row>
      <xdr:rowOff>59372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CE5189-05A6-4C70-A6CC-FB79C5194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16316" y="23867"/>
          <a:ext cx="811509" cy="825817"/>
        </a:xfrm>
        <a:prstGeom prst="rect">
          <a:avLst/>
        </a:prstGeom>
      </xdr:spPr>
    </xdr:pic>
    <xdr:clientData/>
  </xdr:twoCellAnchor>
  <xdr:twoCellAnchor editAs="oneCell">
    <xdr:from>
      <xdr:col>17</xdr:col>
      <xdr:colOff>457200</xdr:colOff>
      <xdr:row>15</xdr:row>
      <xdr:rowOff>0</xdr:rowOff>
    </xdr:from>
    <xdr:to>
      <xdr:col>17</xdr:col>
      <xdr:colOff>1279504</xdr:colOff>
      <xdr:row>18</xdr:row>
      <xdr:rowOff>69956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9625B7-43C0-4333-8CF9-AD280CEF5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97350" y="3876675"/>
          <a:ext cx="813414" cy="827722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A60025E7-44EA-4D85-BFD7-2D8FEC884AA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1"/>
          <a:ext cx="4178300" cy="55973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0.00024</cdr:x>
      <cdr:y>0.00024</cdr:y>
    </cdr:from>
    <cdr:to>
      <cdr:x>0.91668</cdr:x>
      <cdr:y>0.20084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46C94A0-6B9A-417B-9DE4-CE044EE3F9F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178305" cy="557143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0.01075</cdr:x>
      <cdr:y>0</cdr:y>
    </cdr:from>
    <cdr:to>
      <cdr:x>0.01075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C856CB48-3BFC-4BF2-AB43-52537675547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1"/>
          <a:ext cx="4178300" cy="55973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0.01075</cdr:x>
      <cdr:y>0</cdr:y>
    </cdr:from>
    <cdr:to>
      <cdr:x>0.91644</cdr:x>
      <cdr:y>0.20493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8EE1840-C99D-48C2-9DCE-B7316CB1DBB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178305" cy="557143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0.06726</cdr:x>
      <cdr:y>0.00265</cdr:y>
    </cdr:from>
    <cdr:to>
      <cdr:x>0.06726</cdr:x>
      <cdr:y>0.00265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931A4792-4DB2-447F-B750-183A655A221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2900" y="0"/>
          <a:ext cx="3926164" cy="652329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369498</xdr:colOff>
      <xdr:row>148</xdr:row>
      <xdr:rowOff>26958</xdr:rowOff>
    </xdr:from>
    <xdr:to>
      <xdr:col>6</xdr:col>
      <xdr:colOff>287548</xdr:colOff>
      <xdr:row>173</xdr:row>
      <xdr:rowOff>89859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251604</xdr:colOff>
      <xdr:row>0</xdr:row>
      <xdr:rowOff>17973</xdr:rowOff>
    </xdr:from>
    <xdr:to>
      <xdr:col>1</xdr:col>
      <xdr:colOff>629010</xdr:colOff>
      <xdr:row>4</xdr:row>
      <xdr:rowOff>20357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0B9B8A5-FE04-4551-B90D-74CF9E565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604" y="17973"/>
          <a:ext cx="655967" cy="909955"/>
        </a:xfrm>
        <a:prstGeom prst="rect">
          <a:avLst/>
        </a:prstGeom>
      </xdr:spPr>
    </xdr:pic>
    <xdr:clientData/>
  </xdr:twoCellAnchor>
  <xdr:twoCellAnchor editAs="oneCell">
    <xdr:from>
      <xdr:col>12</xdr:col>
      <xdr:colOff>107832</xdr:colOff>
      <xdr:row>0</xdr:row>
      <xdr:rowOff>0</xdr:rowOff>
    </xdr:from>
    <xdr:to>
      <xdr:col>12</xdr:col>
      <xdr:colOff>799742</xdr:colOff>
      <xdr:row>3</xdr:row>
      <xdr:rowOff>177070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5AD3DB1-44BD-47E4-9D71-3EC0BE15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485190" y="0"/>
          <a:ext cx="691910" cy="886952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148</xdr:row>
      <xdr:rowOff>0</xdr:rowOff>
    </xdr:from>
    <xdr:to>
      <xdr:col>12</xdr:col>
      <xdr:colOff>843593</xdr:colOff>
      <xdr:row>173</xdr:row>
      <xdr:rowOff>62901</xdr:rowOff>
    </xdr:to>
    <xdr:graphicFrame macro="">
      <xdr:nvGraphicFramePr>
        <xdr:cNvPr id="12" name="2 Gráfico">
          <a:extLst>
            <a:ext uri="{FF2B5EF4-FFF2-40B4-BE49-F238E27FC236}">
              <a16:creationId xmlns:a16="http://schemas.microsoft.com/office/drawing/2014/main" id="{8A3C0CF2-0E04-4B5E-AE4B-43F4C85A1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8</xdr:row>
      <xdr:rowOff>19050</xdr:rowOff>
    </xdr:from>
    <xdr:to>
      <xdr:col>6</xdr:col>
      <xdr:colOff>161925</xdr:colOff>
      <xdr:row>25</xdr:row>
      <xdr:rowOff>38101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8</xdr:row>
      <xdr:rowOff>76200</xdr:rowOff>
    </xdr:from>
    <xdr:to>
      <xdr:col>13</xdr:col>
      <xdr:colOff>38100</xdr:colOff>
      <xdr:row>25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390524</xdr:colOff>
      <xdr:row>28</xdr:row>
      <xdr:rowOff>133350</xdr:rowOff>
    </xdr:from>
    <xdr:to>
      <xdr:col>6</xdr:col>
      <xdr:colOff>247649</xdr:colOff>
      <xdr:row>45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29</xdr:row>
      <xdr:rowOff>114300</xdr:rowOff>
    </xdr:from>
    <xdr:to>
      <xdr:col>12</xdr:col>
      <xdr:colOff>647700</xdr:colOff>
      <xdr:row>46</xdr:row>
      <xdr:rowOff>19050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209549</xdr:colOff>
      <xdr:row>49</xdr:row>
      <xdr:rowOff>104775</xdr:rowOff>
    </xdr:from>
    <xdr:to>
      <xdr:col>6</xdr:col>
      <xdr:colOff>390524</xdr:colOff>
      <xdr:row>66</xdr:row>
      <xdr:rowOff>114300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266700</xdr:colOff>
      <xdr:row>50</xdr:row>
      <xdr:rowOff>47624</xdr:rowOff>
    </xdr:from>
    <xdr:to>
      <xdr:col>13</xdr:col>
      <xdr:colOff>228600</xdr:colOff>
      <xdr:row>67</xdr:row>
      <xdr:rowOff>28574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323850</xdr:colOff>
      <xdr:row>69</xdr:row>
      <xdr:rowOff>57150</xdr:rowOff>
    </xdr:from>
    <xdr:to>
      <xdr:col>6</xdr:col>
      <xdr:colOff>400050</xdr:colOff>
      <xdr:row>86</xdr:row>
      <xdr:rowOff>123825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400049</xdr:colOff>
      <xdr:row>69</xdr:row>
      <xdr:rowOff>152400</xdr:rowOff>
    </xdr:from>
    <xdr:to>
      <xdr:col>13</xdr:col>
      <xdr:colOff>333374</xdr:colOff>
      <xdr:row>86</xdr:row>
      <xdr:rowOff>152400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89</xdr:row>
      <xdr:rowOff>38100</xdr:rowOff>
    </xdr:from>
    <xdr:to>
      <xdr:col>6</xdr:col>
      <xdr:colOff>285750</xdr:colOff>
      <xdr:row>107</xdr:row>
      <xdr:rowOff>133350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28575</xdr:colOff>
      <xdr:row>88</xdr:row>
      <xdr:rowOff>152400</xdr:rowOff>
    </xdr:from>
    <xdr:to>
      <xdr:col>13</xdr:col>
      <xdr:colOff>238124</xdr:colOff>
      <xdr:row>108</xdr:row>
      <xdr:rowOff>19050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0.07983</cdr:x>
      <cdr:y>0.00902</cdr:y>
    </cdr:from>
    <cdr:to>
      <cdr:x>0.93906</cdr:x>
      <cdr:y>0.14844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5C4BCBF6-A763-4773-8658-EF9A9B60AF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68300" y="25400"/>
          <a:ext cx="3926164" cy="37188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0.14126</cdr:x>
      <cdr:y>0</cdr:y>
    </cdr:from>
    <cdr:to>
      <cdr:x>1</cdr:x>
      <cdr:y>0.13365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AA92435-4081-4F07-845A-E16311599FF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4312" y="0"/>
          <a:ext cx="3795288" cy="358991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0.06726</cdr:x>
      <cdr:y>0</cdr:y>
    </cdr:from>
    <cdr:to>
      <cdr:x>0.06726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CBEDDC04-C6A4-4B19-82FD-432762FF493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2900" y="0"/>
          <a:ext cx="3926164" cy="6523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0.07775</cdr:x>
      <cdr:y>0.00467</cdr:y>
    </cdr:from>
    <cdr:to>
      <cdr:x>0.93913</cdr:x>
      <cdr:y>0.24474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FFE3CEC-3130-4879-9D37-FD89306906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55600" y="12700"/>
          <a:ext cx="3926159" cy="65233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0.0675</cdr:x>
      <cdr:y>0</cdr:y>
    </cdr:from>
    <cdr:to>
      <cdr:x>0.0675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3D7435F4-8C80-4EC5-A56A-1C14AD193D4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42900" y="0"/>
          <a:ext cx="3926164" cy="6523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0.07775</cdr:x>
      <cdr:y>0.00419</cdr:y>
    </cdr:from>
    <cdr:to>
      <cdr:x>0.93913</cdr:x>
      <cdr:y>0.24569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C771B32-A434-42F5-B4FA-3DC129F47D3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55600" y="12700"/>
          <a:ext cx="3926159" cy="652333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B074F0BE-2351-44BE-85AA-E38C4E72EB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407790" cy="6523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3C59AB9D-8CEC-4FB6-8EDF-BA4517BE93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407774" cy="65233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0.10251</cdr:x>
      <cdr:y>0.00714</cdr:y>
    </cdr:from>
    <cdr:to>
      <cdr:x>0.80716</cdr:x>
      <cdr:y>0.18693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951E3E33-5B96-433A-8012-21C4F91A6C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66725" y="19050"/>
          <a:ext cx="3208219" cy="479484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0.01075</cdr:x>
      <cdr:y>0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9A0DB88-98B8-4E3E-9DB6-FA5F13ED5F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407790" cy="6523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875C8CA9-89F6-4335-99FF-66F7456094A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4407774" cy="65233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0.1174</cdr:x>
      <cdr:y>0</cdr:y>
    </cdr:from>
    <cdr:to>
      <cdr:x>0.82352</cdr:x>
      <cdr:y>0.17978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46F40B40-CE1A-4828-995B-F99E11ED0D7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33400" y="0"/>
          <a:ext cx="3208219" cy="47948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RRAS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recoquimbo.cl\dfs\Redireccion$\gencina\Escritorio\Copia%20de%20PRESUPUESTO%20DETALLADO%20PROGRAMA%2001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4-95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 real"/>
      <sheetName val="MARCOACT"/>
      <sheetName val="Gastos de Representación"/>
      <sheetName val="PARAMETROS"/>
      <sheetName val="pasajes"/>
      <sheetName val="PROGRAMAS (2)"/>
      <sheetName val="otros"/>
      <sheetName val="Gasto Publicidad y Difusión"/>
      <sheetName val="Gasto (2)"/>
      <sheetName val="detalle gastos por pagar"/>
      <sheetName val="compromisos con saldo"/>
      <sheetName val="Gasto"/>
      <sheetName val="Proyección"/>
      <sheetName val="Proyección Rem"/>
      <sheetName val="Proyección Fija"/>
      <sheetName val="% Variación"/>
      <sheetName val="Prog. 01 2014 (2)"/>
    </sheetNames>
    <sheetDataSet>
      <sheetData sheetId="0"/>
      <sheetData sheetId="1"/>
      <sheetData sheetId="2"/>
      <sheetData sheetId="3">
        <row r="6">
          <cell r="A6">
            <v>1</v>
          </cell>
          <cell r="B6" t="str">
            <v>Ruta Gabriela Mistral</v>
          </cell>
        </row>
        <row r="7">
          <cell r="A7">
            <v>2</v>
          </cell>
          <cell r="B7" t="str">
            <v>Residuos Sólidos</v>
          </cell>
        </row>
        <row r="8">
          <cell r="A8">
            <v>3</v>
          </cell>
          <cell r="B8" t="str">
            <v>Internacional</v>
          </cell>
        </row>
        <row r="9">
          <cell r="A9">
            <v>4</v>
          </cell>
          <cell r="B9" t="str">
            <v>Programa Subnacional</v>
          </cell>
        </row>
        <row r="10">
          <cell r="A10">
            <v>5</v>
          </cell>
          <cell r="B10" t="str">
            <v>Provisión FIC</v>
          </cell>
        </row>
        <row r="11">
          <cell r="A11">
            <v>6</v>
          </cell>
          <cell r="B11" t="str">
            <v>PIRDT</v>
          </cell>
        </row>
        <row r="12">
          <cell r="A12">
            <v>7</v>
          </cell>
          <cell r="B12" t="str">
            <v>Sanemiento Sanitario</v>
          </cell>
        </row>
        <row r="13">
          <cell r="A13">
            <v>8</v>
          </cell>
          <cell r="B13" t="str">
            <v>ORIGEN</v>
          </cell>
        </row>
        <row r="14">
          <cell r="A14">
            <v>9</v>
          </cell>
          <cell r="B14" t="str">
            <v>Gobierno Regional de Coquimbo</v>
          </cell>
        </row>
        <row r="15">
          <cell r="B1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BB21-1FF6-445B-9D26-D671E9D9BC93}">
  <sheetPr>
    <tabColor theme="0"/>
    <pageSetUpPr fitToPage="1"/>
  </sheetPr>
  <dimension ref="A1:T41"/>
  <sheetViews>
    <sheetView showGridLines="0" zoomScale="75" zoomScaleNormal="75" zoomScaleSheetLayoutView="75" workbookViewId="0">
      <selection activeCell="E9" sqref="E9"/>
    </sheetView>
  </sheetViews>
  <sheetFormatPr baseColWidth="10" defaultRowHeight="13" x14ac:dyDescent="0.3"/>
  <cols>
    <col min="1" max="1" width="8" style="71" bestFit="1" customWidth="1"/>
    <col min="2" max="2" width="7.54296875" style="71" customWidth="1"/>
    <col min="3" max="3" width="46.1796875" style="71" customWidth="1"/>
    <col min="4" max="4" width="16.81640625" style="71" customWidth="1"/>
    <col min="5" max="5" width="14.81640625" style="71" customWidth="1"/>
    <col min="6" max="10" width="13.26953125" style="71" customWidth="1"/>
    <col min="11" max="13" width="11.54296875" style="71" customWidth="1"/>
    <col min="14" max="14" width="14.26953125" style="71" customWidth="1"/>
    <col min="15" max="17" width="15.1796875" style="71" customWidth="1"/>
    <col min="18" max="18" width="17.54296875" style="71" customWidth="1"/>
    <col min="19" max="19" width="22.453125" style="71" bestFit="1" customWidth="1"/>
    <col min="20" max="20" width="19.26953125" style="71" customWidth="1"/>
    <col min="21" max="16384" width="10.90625" style="71"/>
  </cols>
  <sheetData>
    <row r="1" spans="1:20" ht="15" thickTop="1" x14ac:dyDescent="0.35">
      <c r="A1" s="66" t="s">
        <v>0</v>
      </c>
      <c r="B1" s="67" t="s">
        <v>1</v>
      </c>
      <c r="C1" s="68" t="s">
        <v>2</v>
      </c>
      <c r="D1" s="68" t="s">
        <v>16</v>
      </c>
      <c r="E1" s="69" t="s">
        <v>3</v>
      </c>
      <c r="F1" s="69" t="s">
        <v>5</v>
      </c>
      <c r="G1" s="69" t="s">
        <v>40</v>
      </c>
      <c r="H1" s="69" t="s">
        <v>17</v>
      </c>
      <c r="I1" s="69" t="s">
        <v>18</v>
      </c>
      <c r="J1" s="69" t="s">
        <v>23</v>
      </c>
      <c r="K1" s="69" t="s">
        <v>25</v>
      </c>
      <c r="L1" s="69" t="s">
        <v>26</v>
      </c>
      <c r="M1" s="69" t="s">
        <v>27</v>
      </c>
      <c r="N1" s="69" t="s">
        <v>49</v>
      </c>
      <c r="O1" s="69" t="s">
        <v>57</v>
      </c>
      <c r="P1" s="69" t="s">
        <v>58</v>
      </c>
      <c r="Q1" s="69" t="s">
        <v>31</v>
      </c>
      <c r="R1" s="69" t="s">
        <v>38</v>
      </c>
      <c r="S1" s="70" t="s">
        <v>39</v>
      </c>
    </row>
    <row r="2" spans="1:20" ht="14.5" x14ac:dyDescent="0.35">
      <c r="A2" s="72">
        <v>5</v>
      </c>
      <c r="B2" s="73"/>
      <c r="C2" s="74" t="s">
        <v>24</v>
      </c>
      <c r="D2" s="75">
        <f>+ENERO2021!D3</f>
        <v>4757859</v>
      </c>
      <c r="E2" s="76">
        <v>4807971</v>
      </c>
      <c r="F2" s="75">
        <f>+ENERO2021!F3</f>
        <v>346000</v>
      </c>
      <c r="G2" s="75">
        <v>418584.22100000002</v>
      </c>
      <c r="H2" s="75">
        <v>529500.04500000004</v>
      </c>
      <c r="I2" s="75">
        <v>341289.951</v>
      </c>
      <c r="J2" s="75">
        <v>360231.18300000002</v>
      </c>
      <c r="K2" s="75">
        <v>535193.55299999996</v>
      </c>
      <c r="L2" s="75">
        <v>475798.98700000002</v>
      </c>
      <c r="M2" s="75">
        <v>283385.495</v>
      </c>
      <c r="N2" s="75">
        <v>80533.273000000001</v>
      </c>
      <c r="O2" s="75">
        <v>195556.03899999999</v>
      </c>
      <c r="P2" s="75">
        <v>313882.22200000001</v>
      </c>
      <c r="Q2" s="75">
        <v>915916.15700000001</v>
      </c>
      <c r="R2" s="75">
        <f>SUM(F2:Q2)</f>
        <v>4795871.1260000002</v>
      </c>
      <c r="S2" s="77">
        <f>+E2-R2</f>
        <v>12099.873999999836</v>
      </c>
    </row>
    <row r="3" spans="1:20" ht="14.5" x14ac:dyDescent="0.35">
      <c r="A3" s="72"/>
      <c r="B3" s="78"/>
      <c r="C3" s="79"/>
      <c r="D3" s="80"/>
      <c r="E3" s="81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77"/>
    </row>
    <row r="4" spans="1:20" ht="14.5" x14ac:dyDescent="0.35">
      <c r="A4" s="72">
        <v>6</v>
      </c>
      <c r="B4" s="82"/>
      <c r="C4" s="74" t="s">
        <v>34</v>
      </c>
      <c r="D4" s="75">
        <f>+ENERO2021!D5</f>
        <v>31476</v>
      </c>
      <c r="E4" s="83">
        <f>+ENERO2021!E5-10</f>
        <v>31466</v>
      </c>
      <c r="F4" s="75">
        <f>+ENERO2021!F5</f>
        <v>2083.7669999999998</v>
      </c>
      <c r="G4" s="75">
        <v>2641.8310000000001</v>
      </c>
      <c r="H4" s="75">
        <v>2510.7759999999998</v>
      </c>
      <c r="I4" s="75">
        <v>3155.8980000000001</v>
      </c>
      <c r="J4" s="75">
        <v>2713.4549999999999</v>
      </c>
      <c r="K4" s="75">
        <v>1945.0889999999999</v>
      </c>
      <c r="L4" s="75">
        <v>2854.212</v>
      </c>
      <c r="M4" s="75">
        <v>1960.8430000000001</v>
      </c>
      <c r="N4" s="75">
        <v>2507.6619999999998</v>
      </c>
      <c r="O4" s="75">
        <v>1936.202</v>
      </c>
      <c r="P4" s="75">
        <v>2169.346</v>
      </c>
      <c r="Q4" s="75">
        <v>2627.2730000000001</v>
      </c>
      <c r="R4" s="75">
        <f>SUM(F4:Q4)</f>
        <v>29106.354000000007</v>
      </c>
      <c r="S4" s="77">
        <f>+E4-R4</f>
        <v>2359.6459999999934</v>
      </c>
    </row>
    <row r="5" spans="1:20" ht="14.5" x14ac:dyDescent="0.35">
      <c r="A5" s="84"/>
      <c r="B5" s="78"/>
      <c r="C5" s="78"/>
      <c r="D5" s="78"/>
      <c r="E5" s="85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86"/>
    </row>
    <row r="6" spans="1:20" ht="14.5" x14ac:dyDescent="0.35">
      <c r="A6" s="72">
        <v>8</v>
      </c>
      <c r="B6" s="87"/>
      <c r="C6" s="74" t="s">
        <v>36</v>
      </c>
      <c r="D6" s="75">
        <f t="shared" ref="D6:Q6" si="0">+D7+D9+D8</f>
        <v>37439</v>
      </c>
      <c r="E6" s="75">
        <f t="shared" si="0"/>
        <v>37439</v>
      </c>
      <c r="F6" s="75">
        <f t="shared" si="0"/>
        <v>0</v>
      </c>
      <c r="G6" s="75">
        <v>0</v>
      </c>
      <c r="H6" s="75">
        <f t="shared" ref="H6:J6" si="1">+H7+H9+H8</f>
        <v>5056.1859999999997</v>
      </c>
      <c r="I6" s="75">
        <f t="shared" si="1"/>
        <v>0</v>
      </c>
      <c r="J6" s="75">
        <f t="shared" si="1"/>
        <v>8329.3080000000009</v>
      </c>
      <c r="K6" s="75">
        <f t="shared" si="0"/>
        <v>12717.816000000001</v>
      </c>
      <c r="L6" s="75">
        <f t="shared" si="0"/>
        <v>5178.3429999999998</v>
      </c>
      <c r="M6" s="75">
        <f t="shared" si="0"/>
        <v>0</v>
      </c>
      <c r="N6" s="75">
        <f t="shared" si="0"/>
        <v>14088.460999999999</v>
      </c>
      <c r="O6" s="75">
        <f t="shared" si="0"/>
        <v>0</v>
      </c>
      <c r="P6" s="75">
        <f t="shared" ref="P6" si="2">+P7+P9+P8</f>
        <v>11021.839</v>
      </c>
      <c r="Q6" s="75">
        <f t="shared" si="0"/>
        <v>13643.198</v>
      </c>
      <c r="R6" s="75">
        <f>SUM(F6:Q6)</f>
        <v>70035.150999999998</v>
      </c>
      <c r="S6" s="77">
        <f>SUM(S7:S9)</f>
        <v>-32596.150999999998</v>
      </c>
    </row>
    <row r="7" spans="1:20" ht="14.5" x14ac:dyDescent="0.35">
      <c r="A7" s="72"/>
      <c r="B7" s="88" t="s">
        <v>19</v>
      </c>
      <c r="C7" s="89" t="s">
        <v>50</v>
      </c>
      <c r="D7" s="90">
        <f>+ENERO2021!D8</f>
        <v>37439</v>
      </c>
      <c r="E7" s="90">
        <f>+ENERO2021!E8</f>
        <v>37439</v>
      </c>
      <c r="F7" s="90">
        <f>+ENERO2021!F8</f>
        <v>0</v>
      </c>
      <c r="G7" s="90"/>
      <c r="H7" s="90">
        <v>5056.1859999999997</v>
      </c>
      <c r="I7" s="90"/>
      <c r="J7" s="90">
        <v>8329.3080000000009</v>
      </c>
      <c r="K7" s="90">
        <v>12717.816000000001</v>
      </c>
      <c r="L7" s="90">
        <v>5178.3429999999998</v>
      </c>
      <c r="M7" s="90"/>
      <c r="N7" s="90">
        <v>14088.460999999999</v>
      </c>
      <c r="O7" s="90">
        <v>0</v>
      </c>
      <c r="P7" s="90">
        <v>11021.839</v>
      </c>
      <c r="Q7" s="90">
        <v>13643.198</v>
      </c>
      <c r="R7" s="90">
        <f>SUM(F7:Q7)</f>
        <v>70035.150999999998</v>
      </c>
      <c r="S7" s="91">
        <f>+E7-R7</f>
        <v>-32596.150999999998</v>
      </c>
    </row>
    <row r="8" spans="1:20" ht="14.5" x14ac:dyDescent="0.35">
      <c r="A8" s="72"/>
      <c r="B8" s="88" t="s">
        <v>59</v>
      </c>
      <c r="C8" s="89" t="s">
        <v>60</v>
      </c>
      <c r="D8" s="90">
        <f>+ENERO2021!D9</f>
        <v>0</v>
      </c>
      <c r="E8" s="90">
        <f>+ENERO2021!E9</f>
        <v>0</v>
      </c>
      <c r="F8" s="90">
        <f>+ENERO2021!F9</f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>
        <f>SUM(F8:K8)</f>
        <v>0</v>
      </c>
      <c r="S8" s="91"/>
    </row>
    <row r="9" spans="1:20" ht="14.5" x14ac:dyDescent="0.35">
      <c r="A9" s="72"/>
      <c r="B9" s="88" t="s">
        <v>35</v>
      </c>
      <c r="C9" s="89" t="s">
        <v>51</v>
      </c>
      <c r="D9" s="90">
        <f>+ENERO2021!D10</f>
        <v>0</v>
      </c>
      <c r="E9" s="90">
        <f>+ENERO2021!E10</f>
        <v>0</v>
      </c>
      <c r="F9" s="90">
        <f>+ENERO2021!F10</f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/>
      <c r="M9" s="90"/>
      <c r="N9" s="90"/>
      <c r="O9" s="90"/>
      <c r="P9" s="90"/>
      <c r="Q9" s="90"/>
      <c r="R9" s="90">
        <f>SUM(F9:K9)</f>
        <v>0</v>
      </c>
      <c r="S9" s="91">
        <f>+E9-R9</f>
        <v>0</v>
      </c>
    </row>
    <row r="10" spans="1:20" ht="14.5" x14ac:dyDescent="0.35">
      <c r="A10" s="92"/>
      <c r="B10" s="88"/>
      <c r="C10" s="93"/>
      <c r="D10" s="90"/>
      <c r="E10" s="94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3"/>
      <c r="S10" s="91"/>
    </row>
    <row r="11" spans="1:20" ht="14.5" x14ac:dyDescent="0.35">
      <c r="A11" s="72">
        <v>12</v>
      </c>
      <c r="B11" s="95"/>
      <c r="C11" s="74" t="s">
        <v>86</v>
      </c>
      <c r="D11" s="93">
        <f>+ENERO2021!D12</f>
        <v>0</v>
      </c>
      <c r="E11" s="85">
        <v>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0">
        <v>204.75899999999999</v>
      </c>
      <c r="R11" s="75">
        <f>SUM(F11:Q11)</f>
        <v>204.75899999999999</v>
      </c>
      <c r="S11" s="91">
        <f>+E11-R11</f>
        <v>-194.75899999999999</v>
      </c>
    </row>
    <row r="12" spans="1:20" ht="14.5" x14ac:dyDescent="0.35">
      <c r="A12" s="72">
        <v>13</v>
      </c>
      <c r="B12" s="95"/>
      <c r="C12" s="74" t="s">
        <v>95</v>
      </c>
      <c r="D12" s="90">
        <f>+ENERO2021!D13</f>
        <v>30899</v>
      </c>
      <c r="E12" s="94">
        <f>+ENERO2021!E13+62060</f>
        <v>92959</v>
      </c>
      <c r="F12" s="93"/>
      <c r="G12" s="93">
        <v>0</v>
      </c>
      <c r="H12" s="93">
        <v>1840</v>
      </c>
      <c r="I12" s="93"/>
      <c r="J12" s="90"/>
      <c r="K12" s="90">
        <v>15923</v>
      </c>
      <c r="L12" s="90"/>
      <c r="M12" s="90"/>
      <c r="N12" s="90"/>
      <c r="O12" s="90"/>
      <c r="P12" s="90">
        <v>74224</v>
      </c>
      <c r="Q12" s="90"/>
      <c r="R12" s="75">
        <f>SUM(F12:Q12)</f>
        <v>91987</v>
      </c>
      <c r="S12" s="91">
        <f>+E12-R12</f>
        <v>972</v>
      </c>
    </row>
    <row r="13" spans="1:20" ht="14.5" x14ac:dyDescent="0.35">
      <c r="A13" s="72">
        <v>15</v>
      </c>
      <c r="B13" s="95"/>
      <c r="C13" s="74" t="s">
        <v>37</v>
      </c>
      <c r="D13" s="96">
        <f>+ENERO2021!D14</f>
        <v>0</v>
      </c>
      <c r="E13" s="97">
        <v>518998.00199999998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/>
      <c r="M13" s="96"/>
      <c r="N13" s="96"/>
      <c r="O13" s="96"/>
      <c r="P13" s="96"/>
      <c r="Q13" s="96"/>
      <c r="R13" s="75">
        <f>SUM(F13:Q13)</f>
        <v>0</v>
      </c>
      <c r="S13" s="77">
        <f>+E13-R13</f>
        <v>518998.00199999998</v>
      </c>
    </row>
    <row r="14" spans="1:20" ht="15" thickBot="1" x14ac:dyDescent="0.4">
      <c r="A14" s="98"/>
      <c r="B14" s="99"/>
      <c r="C14" s="100" t="s">
        <v>4</v>
      </c>
      <c r="D14" s="101">
        <f>+D2+D4+D6+D11+D12+D13</f>
        <v>4857673</v>
      </c>
      <c r="E14" s="101">
        <f t="shared" ref="E14:R14" si="3">+E2+E4+E6+E11+E12+E13</f>
        <v>5488843.0020000003</v>
      </c>
      <c r="F14" s="101">
        <f t="shared" si="3"/>
        <v>348083.76699999999</v>
      </c>
      <c r="G14" s="101">
        <f t="shared" si="3"/>
        <v>421226.05200000003</v>
      </c>
      <c r="H14" s="101">
        <f t="shared" si="3"/>
        <v>538907.00699999998</v>
      </c>
      <c r="I14" s="101">
        <f t="shared" si="3"/>
        <v>344445.84899999999</v>
      </c>
      <c r="J14" s="101">
        <f t="shared" si="3"/>
        <v>371273.94600000005</v>
      </c>
      <c r="K14" s="101">
        <f t="shared" si="3"/>
        <v>565779.45799999998</v>
      </c>
      <c r="L14" s="101">
        <f t="shared" si="3"/>
        <v>483831.54200000002</v>
      </c>
      <c r="M14" s="101">
        <f t="shared" si="3"/>
        <v>285346.33799999999</v>
      </c>
      <c r="N14" s="101">
        <f t="shared" si="3"/>
        <v>97129.395999999993</v>
      </c>
      <c r="O14" s="101">
        <f t="shared" si="3"/>
        <v>197492.24099999998</v>
      </c>
      <c r="P14" s="101">
        <f t="shared" ref="P14" si="4">+P2+P4+P6+P11+P12+P13</f>
        <v>401297.40700000001</v>
      </c>
      <c r="Q14" s="101">
        <f t="shared" si="3"/>
        <v>932391.38699999999</v>
      </c>
      <c r="R14" s="101">
        <f t="shared" si="3"/>
        <v>4987204.3899999997</v>
      </c>
      <c r="S14" s="101">
        <f>+S2+S4+S6+S11+S12+S13</f>
        <v>501638.61199999979</v>
      </c>
    </row>
    <row r="15" spans="1:20" ht="15.5" thickTop="1" thickBot="1" x14ac:dyDescent="0.4">
      <c r="A15" s="152" t="s">
        <v>97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</row>
    <row r="16" spans="1:20" ht="23" customHeight="1" thickTop="1" x14ac:dyDescent="0.35">
      <c r="A16" s="102" t="s">
        <v>0</v>
      </c>
      <c r="B16" s="103" t="s">
        <v>1</v>
      </c>
      <c r="C16" s="104" t="s">
        <v>2</v>
      </c>
      <c r="D16" s="104" t="s">
        <v>16</v>
      </c>
      <c r="E16" s="104" t="s">
        <v>3</v>
      </c>
      <c r="F16" s="105" t="s">
        <v>5</v>
      </c>
      <c r="G16" s="105" t="s">
        <v>40</v>
      </c>
      <c r="H16" s="105" t="s">
        <v>17</v>
      </c>
      <c r="I16" s="105" t="s">
        <v>18</v>
      </c>
      <c r="J16" s="105" t="s">
        <v>23</v>
      </c>
      <c r="K16" s="105" t="s">
        <v>25</v>
      </c>
      <c r="L16" s="105" t="s">
        <v>26</v>
      </c>
      <c r="M16" s="105" t="s">
        <v>27</v>
      </c>
      <c r="N16" s="105" t="s">
        <v>49</v>
      </c>
      <c r="O16" s="105" t="s">
        <v>57</v>
      </c>
      <c r="P16" s="105" t="s">
        <v>58</v>
      </c>
      <c r="Q16" s="105" t="s">
        <v>31</v>
      </c>
      <c r="R16" s="105" t="s">
        <v>65</v>
      </c>
      <c r="S16" s="106" t="s">
        <v>15</v>
      </c>
      <c r="T16" s="107" t="s">
        <v>81</v>
      </c>
    </row>
    <row r="17" spans="1:20" ht="14.5" x14ac:dyDescent="0.35">
      <c r="A17" s="72">
        <v>21</v>
      </c>
      <c r="B17" s="108"/>
      <c r="C17" s="74" t="s">
        <v>52</v>
      </c>
      <c r="D17" s="75">
        <f>+ENERO2021!D19</f>
        <v>3573390</v>
      </c>
      <c r="E17" s="75">
        <v>3836140</v>
      </c>
      <c r="F17" s="75">
        <f>+ENERO2021!F19</f>
        <v>248675.761</v>
      </c>
      <c r="G17" s="75">
        <v>248120.367</v>
      </c>
      <c r="H17" s="75">
        <v>426964.80699999997</v>
      </c>
      <c r="I17" s="75">
        <v>250428.533</v>
      </c>
      <c r="J17" s="75">
        <v>251715.283</v>
      </c>
      <c r="K17" s="75">
        <v>424362.05099999998</v>
      </c>
      <c r="L17" s="75">
        <v>244231.62899999999</v>
      </c>
      <c r="M17" s="75">
        <v>242951.348</v>
      </c>
      <c r="N17" s="75">
        <v>427276.065</v>
      </c>
      <c r="O17" s="75">
        <v>251122.573</v>
      </c>
      <c r="P17" s="75">
        <v>256158.07699999999</v>
      </c>
      <c r="Q17" s="75">
        <v>467876.91100000002</v>
      </c>
      <c r="R17" s="109">
        <f t="shared" ref="R17:R22" si="5">SUM(F17:Q17)</f>
        <v>3739883.4049999998</v>
      </c>
      <c r="S17" s="77">
        <f>+E17-R17</f>
        <v>96256.595000000205</v>
      </c>
      <c r="T17" s="110">
        <f t="shared" ref="T17:T29" si="6">IFERROR(+R17/E17,0)</f>
        <v>0.97490795565333899</v>
      </c>
    </row>
    <row r="18" spans="1:20" ht="14.5" x14ac:dyDescent="0.35">
      <c r="A18" s="72">
        <v>22</v>
      </c>
      <c r="B18" s="111"/>
      <c r="C18" s="74" t="s">
        <v>53</v>
      </c>
      <c r="D18" s="75">
        <f>+ENERO2021!D20</f>
        <v>711003</v>
      </c>
      <c r="E18" s="75">
        <v>838228</v>
      </c>
      <c r="F18" s="75">
        <f>+ENERO2021!F20</f>
        <v>3024.1469999999999</v>
      </c>
      <c r="G18" s="75">
        <v>12722.98</v>
      </c>
      <c r="H18" s="75">
        <v>79019.615000000005</v>
      </c>
      <c r="I18" s="75">
        <v>55139.716999999997</v>
      </c>
      <c r="J18" s="75">
        <v>50213.232000000004</v>
      </c>
      <c r="K18" s="75">
        <v>85498.33</v>
      </c>
      <c r="L18" s="75">
        <v>46731.122000000003</v>
      </c>
      <c r="M18" s="75">
        <v>61269.906999999999</v>
      </c>
      <c r="N18" s="75">
        <v>122776.189</v>
      </c>
      <c r="O18" s="75">
        <v>66416.411999999997</v>
      </c>
      <c r="P18" s="75">
        <v>57784.288999999997</v>
      </c>
      <c r="Q18" s="75">
        <v>147045.611</v>
      </c>
      <c r="R18" s="109">
        <f t="shared" si="5"/>
        <v>787641.55100000009</v>
      </c>
      <c r="S18" s="77">
        <f>+E18-R18</f>
        <v>50586.448999999906</v>
      </c>
      <c r="T18" s="110">
        <f t="shared" si="6"/>
        <v>0.93965072868002508</v>
      </c>
    </row>
    <row r="19" spans="1:20" ht="14.5" x14ac:dyDescent="0.35">
      <c r="A19" s="72">
        <v>23</v>
      </c>
      <c r="B19" s="111"/>
      <c r="C19" s="74" t="s">
        <v>54</v>
      </c>
      <c r="D19" s="75">
        <f>+ENERO2021!D21</f>
        <v>0</v>
      </c>
      <c r="E19" s="75">
        <f>+ENERO2021!E21</f>
        <v>0</v>
      </c>
      <c r="F19" s="75">
        <f>+ENERO2021!F21</f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109">
        <f t="shared" si="5"/>
        <v>0</v>
      </c>
      <c r="S19" s="77">
        <f>+E19-R19</f>
        <v>0</v>
      </c>
      <c r="T19" s="110">
        <f t="shared" si="6"/>
        <v>0</v>
      </c>
    </row>
    <row r="20" spans="1:20" ht="14.5" x14ac:dyDescent="0.35">
      <c r="A20" s="72">
        <v>24</v>
      </c>
      <c r="B20" s="111"/>
      <c r="C20" s="74" t="s">
        <v>24</v>
      </c>
      <c r="D20" s="75">
        <f>+ENERO2021!D22</f>
        <v>510905</v>
      </c>
      <c r="E20" s="75">
        <f>+ENERO2021!E22</f>
        <v>510905</v>
      </c>
      <c r="F20" s="75">
        <f>+ENERO2021!F22</f>
        <v>31360.901999999998</v>
      </c>
      <c r="G20" s="75">
        <v>26796.173999999999</v>
      </c>
      <c r="H20" s="75">
        <v>27521.216</v>
      </c>
      <c r="I20" s="75">
        <v>27329.986000000001</v>
      </c>
      <c r="J20" s="75">
        <v>27101.806</v>
      </c>
      <c r="K20" s="75">
        <v>27375.469000000001</v>
      </c>
      <c r="L20" s="75">
        <v>29533.613000000001</v>
      </c>
      <c r="M20" s="75">
        <v>30954.557000000001</v>
      </c>
      <c r="N20" s="75">
        <v>36413.163999999997</v>
      </c>
      <c r="O20" s="75">
        <v>31082.598000000002</v>
      </c>
      <c r="P20" s="75">
        <v>34088.303</v>
      </c>
      <c r="Q20" s="75">
        <v>38722.171000000002</v>
      </c>
      <c r="R20" s="109">
        <f t="shared" si="5"/>
        <v>368279.95900000003</v>
      </c>
      <c r="S20" s="77">
        <f>+E20-R20</f>
        <v>142625.04099999997</v>
      </c>
      <c r="T20" s="110">
        <f t="shared" si="6"/>
        <v>0.72083843180238993</v>
      </c>
    </row>
    <row r="21" spans="1:20" ht="14.5" x14ac:dyDescent="0.35">
      <c r="A21" s="72">
        <v>26</v>
      </c>
      <c r="B21" s="112"/>
      <c r="C21" s="74" t="s">
        <v>55</v>
      </c>
      <c r="D21" s="75">
        <f>+ENERO2021!D23</f>
        <v>0</v>
      </c>
      <c r="E21" s="75">
        <f>+ENERO2021!E23</f>
        <v>0</v>
      </c>
      <c r="F21" s="75">
        <f>+ENERO2021!F23</f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/>
      <c r="M21" s="75"/>
      <c r="N21" s="75"/>
      <c r="O21" s="75"/>
      <c r="P21" s="75"/>
      <c r="Q21" s="75"/>
      <c r="R21" s="109">
        <f t="shared" si="5"/>
        <v>0</v>
      </c>
      <c r="S21" s="77">
        <f>+E21-R21</f>
        <v>0</v>
      </c>
      <c r="T21" s="110">
        <f t="shared" si="6"/>
        <v>0</v>
      </c>
    </row>
    <row r="22" spans="1:20" ht="14.5" x14ac:dyDescent="0.35">
      <c r="A22" s="72">
        <v>29</v>
      </c>
      <c r="B22" s="113"/>
      <c r="C22" s="74" t="s">
        <v>56</v>
      </c>
      <c r="D22" s="75">
        <f>SUM(D23:D27)</f>
        <v>62375</v>
      </c>
      <c r="E22" s="75">
        <f>SUM(E23:E27)</f>
        <v>124435</v>
      </c>
      <c r="F22" s="75">
        <f t="shared" ref="F22:Q22" si="7">SUM(F23:F27)</f>
        <v>0</v>
      </c>
      <c r="G22" s="75">
        <v>2626.6329999999998</v>
      </c>
      <c r="H22" s="75">
        <f t="shared" ref="H22:J22" si="8">SUM(H23:H27)</f>
        <v>0</v>
      </c>
      <c r="I22" s="75">
        <f t="shared" si="8"/>
        <v>0</v>
      </c>
      <c r="J22" s="75">
        <f t="shared" si="8"/>
        <v>0</v>
      </c>
      <c r="K22" s="75">
        <f t="shared" si="7"/>
        <v>29532.837</v>
      </c>
      <c r="L22" s="75">
        <f t="shared" si="7"/>
        <v>660.00099999999998</v>
      </c>
      <c r="M22" s="75">
        <f t="shared" si="7"/>
        <v>4502.8729999999996</v>
      </c>
      <c r="N22" s="75">
        <f t="shared" si="7"/>
        <v>8537.3220000000001</v>
      </c>
      <c r="O22" s="75">
        <f t="shared" si="7"/>
        <v>1354.3869999999999</v>
      </c>
      <c r="P22" s="75">
        <f t="shared" ref="P22" si="9">SUM(P23:P27)</f>
        <v>31410.294000000002</v>
      </c>
      <c r="Q22" s="75">
        <f t="shared" si="7"/>
        <v>37989.339</v>
      </c>
      <c r="R22" s="109">
        <f t="shared" si="5"/>
        <v>116613.68600000002</v>
      </c>
      <c r="S22" s="77">
        <f>SUM(S23:S27)</f>
        <v>7821.3139999999939</v>
      </c>
      <c r="T22" s="110">
        <f t="shared" si="6"/>
        <v>0.93714538514083667</v>
      </c>
    </row>
    <row r="23" spans="1:20" ht="14.5" x14ac:dyDescent="0.35">
      <c r="A23" s="72"/>
      <c r="B23" s="114" t="s">
        <v>20</v>
      </c>
      <c r="C23" s="89" t="s">
        <v>41</v>
      </c>
      <c r="D23" s="90">
        <f>+ENERO2021!D25</f>
        <v>0</v>
      </c>
      <c r="E23" s="90">
        <f>+ENERO2021!E25</f>
        <v>0</v>
      </c>
      <c r="F23" s="90">
        <f>+ENERO2021!F25</f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/>
      <c r="M23" s="90"/>
      <c r="N23" s="90"/>
      <c r="O23" s="90"/>
      <c r="P23" s="90"/>
      <c r="Q23" s="90"/>
      <c r="R23" s="115">
        <f t="shared" ref="R23:R27" si="10">SUM(F23:Q23)</f>
        <v>0</v>
      </c>
      <c r="S23" s="91">
        <f>+E23-R23</f>
        <v>0</v>
      </c>
      <c r="T23" s="110">
        <f t="shared" si="6"/>
        <v>0</v>
      </c>
    </row>
    <row r="24" spans="1:20" ht="14.5" x14ac:dyDescent="0.35">
      <c r="A24" s="72"/>
      <c r="B24" s="114" t="s">
        <v>42</v>
      </c>
      <c r="C24" s="89" t="s">
        <v>45</v>
      </c>
      <c r="D24" s="90">
        <f>+ENERO2021!D26</f>
        <v>1423</v>
      </c>
      <c r="E24" s="90">
        <f>+ENERO2021!E26+5000</f>
        <v>6423</v>
      </c>
      <c r="F24" s="90">
        <f>+ENERO2021!F26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90">
        <v>1231.0550000000001</v>
      </c>
      <c r="N24" s="90">
        <v>2641.8</v>
      </c>
      <c r="O24" s="90"/>
      <c r="P24" s="90"/>
      <c r="Q24" s="90">
        <v>2434.9639999999999</v>
      </c>
      <c r="R24" s="115">
        <f t="shared" si="10"/>
        <v>6307.8190000000004</v>
      </c>
      <c r="S24" s="91">
        <f>+E24-R24</f>
        <v>115.18099999999959</v>
      </c>
      <c r="T24" s="110">
        <f t="shared" si="6"/>
        <v>0.98206741398100583</v>
      </c>
    </row>
    <row r="25" spans="1:20" ht="14.5" x14ac:dyDescent="0.35">
      <c r="A25" s="72"/>
      <c r="B25" s="114" t="s">
        <v>43</v>
      </c>
      <c r="C25" s="89" t="s">
        <v>46</v>
      </c>
      <c r="D25" s="90">
        <f>+ENERO2021!D27</f>
        <v>0</v>
      </c>
      <c r="E25" s="90">
        <v>10000</v>
      </c>
      <c r="F25" s="90">
        <f>+ENERO2021!F27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660.00099999999998</v>
      </c>
      <c r="M25" s="90">
        <v>2083.154</v>
      </c>
      <c r="N25" s="90"/>
      <c r="O25" s="90"/>
      <c r="P25" s="90"/>
      <c r="Q25" s="90">
        <v>7256.1540000000005</v>
      </c>
      <c r="R25" s="115">
        <f t="shared" si="10"/>
        <v>9999.3090000000011</v>
      </c>
      <c r="S25" s="91">
        <f>+E25-R25</f>
        <v>0.69099999999889405</v>
      </c>
      <c r="T25" s="110">
        <f t="shared" si="6"/>
        <v>0.99993090000000007</v>
      </c>
    </row>
    <row r="26" spans="1:20" ht="14.5" x14ac:dyDescent="0.35">
      <c r="A26" s="72"/>
      <c r="B26" s="114" t="s">
        <v>21</v>
      </c>
      <c r="C26" s="93" t="s">
        <v>47</v>
      </c>
      <c r="D26" s="90">
        <f>+ENERO2021!D28</f>
        <v>1340</v>
      </c>
      <c r="E26" s="90">
        <v>63340</v>
      </c>
      <c r="F26" s="90">
        <f>+ENERO2021!F28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/>
      <c r="M26" s="90"/>
      <c r="N26" s="90">
        <v>2218.0650000000001</v>
      </c>
      <c r="O26" s="90">
        <v>1354.3869999999999</v>
      </c>
      <c r="P26" s="90">
        <v>31410.294000000002</v>
      </c>
      <c r="Q26" s="90">
        <v>28298.221000000001</v>
      </c>
      <c r="R26" s="115">
        <f t="shared" si="10"/>
        <v>63280.967000000004</v>
      </c>
      <c r="S26" s="91">
        <f>+E26-R26</f>
        <v>59.032999999995809</v>
      </c>
      <c r="T26" s="110">
        <f t="shared" si="6"/>
        <v>0.99906799810546265</v>
      </c>
    </row>
    <row r="27" spans="1:20" ht="14.5" x14ac:dyDescent="0.35">
      <c r="A27" s="72"/>
      <c r="B27" s="114" t="s">
        <v>44</v>
      </c>
      <c r="C27" s="93" t="s">
        <v>48</v>
      </c>
      <c r="D27" s="90">
        <f>+ENERO2021!D29</f>
        <v>59612</v>
      </c>
      <c r="E27" s="90">
        <v>44672</v>
      </c>
      <c r="F27" s="90">
        <f>+ENERO2021!F29</f>
        <v>0</v>
      </c>
      <c r="G27" s="90">
        <v>2626.6329999999998</v>
      </c>
      <c r="H27" s="90">
        <v>0</v>
      </c>
      <c r="I27" s="90">
        <v>0</v>
      </c>
      <c r="J27" s="90">
        <v>0</v>
      </c>
      <c r="K27" s="90">
        <v>29532.837</v>
      </c>
      <c r="L27" s="90"/>
      <c r="M27" s="90">
        <v>1188.664</v>
      </c>
      <c r="N27" s="90">
        <v>3677.4569999999999</v>
      </c>
      <c r="O27" s="90"/>
      <c r="P27" s="90"/>
      <c r="Q27" s="90"/>
      <c r="R27" s="115">
        <f t="shared" si="10"/>
        <v>37025.591</v>
      </c>
      <c r="S27" s="91">
        <f>+E27-R27</f>
        <v>7646.4089999999997</v>
      </c>
      <c r="T27" s="110">
        <f t="shared" si="6"/>
        <v>0.8288321767550143</v>
      </c>
    </row>
    <row r="28" spans="1:20" ht="14.5" x14ac:dyDescent="0.35">
      <c r="A28" s="92"/>
      <c r="B28" s="114"/>
      <c r="C28" s="93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116"/>
      <c r="S28" s="91"/>
      <c r="T28" s="110">
        <f t="shared" si="6"/>
        <v>0</v>
      </c>
    </row>
    <row r="29" spans="1:20" ht="14.5" x14ac:dyDescent="0.35">
      <c r="A29" s="72">
        <v>34</v>
      </c>
      <c r="B29" s="114"/>
      <c r="C29" s="74" t="s">
        <v>22</v>
      </c>
      <c r="D29" s="96">
        <f>+ENERO2021!D31</f>
        <v>0</v>
      </c>
      <c r="E29" s="96">
        <v>179135.00099999999</v>
      </c>
      <c r="F29" s="96">
        <v>0</v>
      </c>
      <c r="G29" s="96">
        <v>179135.307</v>
      </c>
      <c r="H29" s="96">
        <v>0</v>
      </c>
      <c r="I29" s="96">
        <v>0</v>
      </c>
      <c r="J29" s="96">
        <v>0</v>
      </c>
      <c r="K29" s="96">
        <v>0</v>
      </c>
      <c r="L29" s="96"/>
      <c r="M29" s="96"/>
      <c r="N29" s="96"/>
      <c r="O29" s="96"/>
      <c r="P29" s="96"/>
      <c r="Q29" s="96"/>
      <c r="R29" s="109">
        <f>SUM(F29:Q29)</f>
        <v>179135.307</v>
      </c>
      <c r="S29" s="77">
        <f>+E29-R29</f>
        <v>-0.3060000000114087</v>
      </c>
      <c r="T29" s="110">
        <f t="shared" si="6"/>
        <v>1.0000017082088832</v>
      </c>
    </row>
    <row r="30" spans="1:20" ht="14.5" x14ac:dyDescent="0.35">
      <c r="A30" s="72"/>
      <c r="B30" s="114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116"/>
      <c r="S30" s="91"/>
      <c r="T30" s="117"/>
    </row>
    <row r="31" spans="1:20" ht="14.5" x14ac:dyDescent="0.35">
      <c r="A31" s="72">
        <v>35</v>
      </c>
      <c r="B31" s="114"/>
      <c r="C31" s="74" t="s">
        <v>14</v>
      </c>
      <c r="D31" s="96">
        <v>0</v>
      </c>
      <c r="E31" s="96">
        <f>+D31</f>
        <v>0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109">
        <f>SUM(F31:Q31)</f>
        <v>0</v>
      </c>
      <c r="S31" s="91">
        <v>0</v>
      </c>
      <c r="T31" s="117"/>
    </row>
    <row r="32" spans="1:20" ht="15" thickBot="1" x14ac:dyDescent="0.4">
      <c r="A32" s="98"/>
      <c r="B32" s="118"/>
      <c r="C32" s="119" t="s">
        <v>4</v>
      </c>
      <c r="D32" s="120">
        <f>+D31+D29+D22+D21+D20+D19+D18+D17</f>
        <v>4857673</v>
      </c>
      <c r="E32" s="120">
        <f>+E31+E29+E22+E21+E20+E19+E18+E17</f>
        <v>5488843.0010000002</v>
      </c>
      <c r="F32" s="120">
        <f t="shared" ref="F32:Q32" si="11">+F31+F29+F22+F21+F20+F19+F18+F17</f>
        <v>283060.81</v>
      </c>
      <c r="G32" s="120">
        <f t="shared" si="11"/>
        <v>469401.46100000001</v>
      </c>
      <c r="H32" s="120">
        <f t="shared" si="11"/>
        <v>533505.63800000004</v>
      </c>
      <c r="I32" s="120">
        <f t="shared" si="11"/>
        <v>332898.23599999998</v>
      </c>
      <c r="J32" s="120">
        <f t="shared" si="11"/>
        <v>329030.321</v>
      </c>
      <c r="K32" s="120">
        <f t="shared" si="11"/>
        <v>566768.68699999992</v>
      </c>
      <c r="L32" s="120">
        <f t="shared" si="11"/>
        <v>321156.36499999999</v>
      </c>
      <c r="M32" s="120">
        <f t="shared" si="11"/>
        <v>339678.685</v>
      </c>
      <c r="N32" s="120">
        <f t="shared" si="11"/>
        <v>595002.74</v>
      </c>
      <c r="O32" s="120">
        <f t="shared" si="11"/>
        <v>349975.97</v>
      </c>
      <c r="P32" s="120">
        <f t="shared" ref="P32" si="12">+P31+P29+P22+P21+P20+P19+P18+P17</f>
        <v>379440.96299999999</v>
      </c>
      <c r="Q32" s="120">
        <f t="shared" si="11"/>
        <v>691634.03200000001</v>
      </c>
      <c r="R32" s="120">
        <f>+R31+R29+R22+R21+R20+R19+R18+R17</f>
        <v>5191553.9079999998</v>
      </c>
      <c r="S32" s="121">
        <f>+S31+S29+S22+S21+S20+S19+S18+S17</f>
        <v>297289.09300000005</v>
      </c>
      <c r="T32" s="122">
        <f>+R32/E32</f>
        <v>0.94583756668830976</v>
      </c>
    </row>
    <row r="33" spans="1:20" ht="15" thickTop="1" x14ac:dyDescent="0.35">
      <c r="A33" s="123"/>
      <c r="B33" s="124"/>
      <c r="C33" s="125" t="s">
        <v>91</v>
      </c>
      <c r="D33" s="126"/>
      <c r="E33" s="126"/>
      <c r="F33" s="127">
        <f>+F32/$E$32</f>
        <v>5.1570214332679908E-2</v>
      </c>
      <c r="G33" s="127">
        <f t="shared" ref="G33:Q33" si="13">+G32/$E$32</f>
        <v>8.5519199750198865E-2</v>
      </c>
      <c r="H33" s="127">
        <f t="shared" si="13"/>
        <v>9.7198196031987399E-2</v>
      </c>
      <c r="I33" s="127">
        <f t="shared" si="13"/>
        <v>6.0649983236785963E-2</v>
      </c>
      <c r="J33" s="127">
        <f t="shared" si="13"/>
        <v>5.9945296475059438E-2</v>
      </c>
      <c r="K33" s="127">
        <f t="shared" si="13"/>
        <v>0.10325831635132242</v>
      </c>
      <c r="L33" s="127">
        <f t="shared" si="13"/>
        <v>5.8510758085354095E-2</v>
      </c>
      <c r="M33" s="127">
        <f t="shared" si="13"/>
        <v>6.1885298037876964E-2</v>
      </c>
      <c r="N33" s="127">
        <f t="shared" si="13"/>
        <v>0.10840221516476201</v>
      </c>
      <c r="O33" s="127">
        <f t="shared" si="13"/>
        <v>6.3761337304827012E-2</v>
      </c>
      <c r="P33" s="127">
        <f t="shared" ref="P33" si="14">+P32/$E$32</f>
        <v>6.9129498317016994E-2</v>
      </c>
      <c r="Q33" s="127">
        <f t="shared" si="13"/>
        <v>0.12600725360043868</v>
      </c>
      <c r="R33" s="127">
        <f>+R32/E32</f>
        <v>0.94583756668830976</v>
      </c>
      <c r="S33" s="127">
        <f>+S32/E32</f>
        <v>5.4162433311690204E-2</v>
      </c>
      <c r="T33" s="128"/>
    </row>
    <row r="34" spans="1:20" ht="27" customHeight="1" x14ac:dyDescent="0.35">
      <c r="A34" s="129"/>
      <c r="B34" s="129"/>
      <c r="C34" s="130"/>
      <c r="D34" s="131" t="s">
        <v>7</v>
      </c>
      <c r="E34" s="132"/>
      <c r="F34" s="132"/>
      <c r="G34" s="132"/>
      <c r="H34" s="132"/>
      <c r="I34" s="132"/>
      <c r="J34" s="132"/>
      <c r="K34" s="132"/>
      <c r="L34" s="133"/>
      <c r="M34" s="133"/>
      <c r="N34" s="133"/>
      <c r="O34" s="133"/>
      <c r="P34" s="133"/>
      <c r="Q34" s="133"/>
      <c r="R34" s="134">
        <f>+R32</f>
        <v>5191553.9079999998</v>
      </c>
      <c r="S34" s="134">
        <f>+S32</f>
        <v>297289.09300000005</v>
      </c>
      <c r="T34" s="135"/>
    </row>
    <row r="35" spans="1:20" ht="34" customHeight="1" x14ac:dyDescent="0.5">
      <c r="A35" s="129"/>
      <c r="B35" s="129"/>
      <c r="C35" s="136"/>
      <c r="D35" s="137" t="s">
        <v>9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9"/>
      <c r="R35" s="140">
        <f>+R34/E32</f>
        <v>0.94583756668830976</v>
      </c>
      <c r="S35" s="141">
        <f>+S34/E32</f>
        <v>5.4162433311690204E-2</v>
      </c>
      <c r="T35" s="142"/>
    </row>
    <row r="36" spans="1:20" ht="14.5" x14ac:dyDescent="0.35">
      <c r="A36" s="129"/>
      <c r="B36" s="129"/>
      <c r="C36" s="143"/>
      <c r="D36" s="143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44">
        <f>(3/12)</f>
        <v>0.25</v>
      </c>
      <c r="S36" s="144">
        <f>+(9/12)</f>
        <v>0.75</v>
      </c>
    </row>
    <row r="37" spans="1:20" ht="14.5" hidden="1" x14ac:dyDescent="0.35">
      <c r="A37" s="129"/>
      <c r="B37" s="129"/>
      <c r="C37" s="129"/>
      <c r="D37" s="129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45">
        <f>+R35-R36</f>
        <v>0.69583756668830976</v>
      </c>
      <c r="S37" s="146"/>
    </row>
    <row r="38" spans="1:20" ht="14.5" x14ac:dyDescent="0.35">
      <c r="A38" s="129"/>
      <c r="B38" s="129"/>
      <c r="C38" s="130"/>
      <c r="D38" s="130"/>
      <c r="E38" s="136">
        <f>+E14-E32</f>
        <v>1.0000001639127731E-3</v>
      </c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47">
        <f>+IF(+R37&gt;0,+R37,0)</f>
        <v>0.69583756668830976</v>
      </c>
      <c r="S38" s="148"/>
      <c r="T38" s="135" t="s">
        <v>6</v>
      </c>
    </row>
    <row r="39" spans="1:20" ht="32.5" customHeight="1" x14ac:dyDescent="0.35">
      <c r="A39" s="129"/>
      <c r="B39" s="129"/>
      <c r="C39" s="129"/>
      <c r="D39" s="149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50">
        <f>+IF(+R37&gt;0,0,-R37)</f>
        <v>0</v>
      </c>
      <c r="S39" s="148"/>
      <c r="T39" s="135" t="s">
        <v>6</v>
      </c>
    </row>
    <row r="40" spans="1:20" ht="14.5" x14ac:dyDescent="0.35">
      <c r="A40" s="129"/>
      <c r="B40" s="129"/>
      <c r="C40" s="129"/>
      <c r="D40" s="14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51">
        <f>+R39*E32</f>
        <v>0</v>
      </c>
      <c r="S40" s="148"/>
    </row>
    <row r="41" spans="1:20" x14ac:dyDescent="0.3">
      <c r="E41" s="135"/>
    </row>
  </sheetData>
  <mergeCells count="4">
    <mergeCell ref="A15:T15"/>
    <mergeCell ref="D34:K34"/>
    <mergeCell ref="D35:Q35"/>
    <mergeCell ref="C36:D36"/>
  </mergeCells>
  <phoneticPr fontId="13" type="noConversion"/>
  <printOptions horizontalCentered="1"/>
  <pageMargins left="0.15748031496062992" right="0.19685039370078741" top="0.51181102362204722" bottom="0.35433070866141736" header="0.15748031496062992" footer="0.15748031496062992"/>
  <pageSetup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C97F-D7FD-425A-944A-5275A3B664AD}">
  <sheetPr>
    <tabColor theme="0"/>
    <pageSetUpPr fitToPage="1"/>
  </sheetPr>
  <dimension ref="A1:U41"/>
  <sheetViews>
    <sheetView showGridLines="0" zoomScale="75" zoomScaleNormal="75" zoomScaleSheetLayoutView="75" workbookViewId="0">
      <selection activeCell="F6" sqref="F6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7" width="13.26953125" style="129" customWidth="1"/>
    <col min="8" max="8" width="11.54296875" style="129" customWidth="1"/>
    <col min="9" max="9" width="13.453125" style="129" hidden="1" customWidth="1"/>
    <col min="10" max="11" width="10.1796875" style="129" hidden="1" customWidth="1"/>
    <col min="12" max="12" width="10.453125" style="129" hidden="1" customWidth="1"/>
    <col min="13" max="13" width="10.1796875" style="129" hidden="1" customWidth="1"/>
    <col min="14" max="14" width="11" style="129" hidden="1" customWidth="1"/>
    <col min="15" max="17" width="10.453125" style="129" hidden="1" customWidth="1"/>
    <col min="18" max="18" width="16" style="129" hidden="1" customWidth="1"/>
    <col min="19" max="19" width="17.54296875" style="129" customWidth="1"/>
    <col min="20" max="20" width="22.453125" style="129" bestFit="1" customWidth="1"/>
    <col min="21" max="21" width="19.26953125" style="129" customWidth="1"/>
    <col min="22" max="16384" width="10.90625" style="129"/>
  </cols>
  <sheetData>
    <row r="1" spans="1:21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1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17</v>
      </c>
      <c r="J2" s="69" t="s">
        <v>18</v>
      </c>
      <c r="K2" s="69" t="s">
        <v>23</v>
      </c>
      <c r="L2" s="69" t="s">
        <v>25</v>
      </c>
      <c r="M2" s="69" t="s">
        <v>26</v>
      </c>
      <c r="N2" s="69" t="s">
        <v>27</v>
      </c>
      <c r="O2" s="69" t="s">
        <v>28</v>
      </c>
      <c r="P2" s="69" t="s">
        <v>29</v>
      </c>
      <c r="Q2" s="69" t="s">
        <v>30</v>
      </c>
      <c r="R2" s="69" t="s">
        <v>31</v>
      </c>
      <c r="S2" s="69" t="s">
        <v>38</v>
      </c>
      <c r="T2" s="70" t="s">
        <v>39</v>
      </c>
    </row>
    <row r="3" spans="1:21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4853334</v>
      </c>
      <c r="F3" s="75">
        <f>+ENERO2021!F3</f>
        <v>346000</v>
      </c>
      <c r="G3" s="75">
        <v>418584.22100000002</v>
      </c>
      <c r="H3" s="75">
        <v>529500.04500000004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>
        <f>SUM(F3:I3)</f>
        <v>1294084.2660000001</v>
      </c>
      <c r="T3" s="77">
        <f>+E3-S3</f>
        <v>3559249.7340000002</v>
      </c>
    </row>
    <row r="4" spans="1:21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77"/>
    </row>
    <row r="5" spans="1:21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</f>
        <v>31476</v>
      </c>
      <c r="F5" s="75">
        <f>+ENERO2021!F5</f>
        <v>2083.7669999999998</v>
      </c>
      <c r="G5" s="75">
        <v>2641.8310000000001</v>
      </c>
      <c r="H5" s="75">
        <v>2510.7759999999998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>
        <f>SUM(F5:R5)</f>
        <v>7236.3739999999998</v>
      </c>
      <c r="T5" s="77">
        <f>+E5-S5</f>
        <v>24239.626</v>
      </c>
    </row>
    <row r="6" spans="1:21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86"/>
    </row>
    <row r="7" spans="1:21" x14ac:dyDescent="0.35">
      <c r="A7" s="72">
        <v>8</v>
      </c>
      <c r="B7" s="87"/>
      <c r="C7" s="74" t="s">
        <v>36</v>
      </c>
      <c r="D7" s="75">
        <f t="shared" ref="D7:R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si="0"/>
        <v>5056.1859999999997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5">
        <f t="shared" si="0"/>
        <v>0</v>
      </c>
      <c r="R7" s="75">
        <f t="shared" si="0"/>
        <v>0</v>
      </c>
      <c r="S7" s="75">
        <f>SUM(F7:R7)</f>
        <v>5056.1859999999997</v>
      </c>
      <c r="T7" s="77">
        <f>SUM(T8:T10)</f>
        <v>32382.813999999998</v>
      </c>
    </row>
    <row r="8" spans="1:21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>
        <f>SUM(F8:R8)</f>
        <v>5056.1859999999997</v>
      </c>
      <c r="T8" s="91">
        <f>+E8-S8</f>
        <v>32382.813999999998</v>
      </c>
    </row>
    <row r="9" spans="1:21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>
        <f>SUM(F9:R9)</f>
        <v>0</v>
      </c>
      <c r="T9" s="91"/>
    </row>
    <row r="10" spans="1:21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>
        <f>SUM(F10:R10)</f>
        <v>0</v>
      </c>
      <c r="T10" s="91">
        <f>+E10-S10</f>
        <v>0</v>
      </c>
    </row>
    <row r="11" spans="1:21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1"/>
    </row>
    <row r="12" spans="1:21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f>+ENERO2021!E12</f>
        <v>0</v>
      </c>
      <c r="F12" s="93"/>
      <c r="G12" s="93"/>
      <c r="H12" s="93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>
        <f>SUM(F12:R12)</f>
        <v>0</v>
      </c>
      <c r="T12" s="91">
        <f>+E12-S12</f>
        <v>0</v>
      </c>
    </row>
    <row r="13" spans="1:21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</f>
        <v>30899</v>
      </c>
      <c r="F13" s="93"/>
      <c r="G13" s="93">
        <v>0</v>
      </c>
      <c r="H13" s="93">
        <v>1840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1"/>
    </row>
    <row r="14" spans="1:21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f>+ENERO2021!E14</f>
        <v>0</v>
      </c>
      <c r="F14" s="96">
        <v>0</v>
      </c>
      <c r="G14" s="96">
        <v>0</v>
      </c>
      <c r="H14" s="96">
        <v>0</v>
      </c>
      <c r="I14" s="96"/>
      <c r="J14" s="74"/>
      <c r="K14" s="74"/>
      <c r="L14" s="74"/>
      <c r="M14" s="74"/>
      <c r="N14" s="74"/>
      <c r="O14" s="74"/>
      <c r="P14" s="74"/>
      <c r="Q14" s="74"/>
      <c r="R14" s="74"/>
      <c r="S14" s="90">
        <f>SUM(I14:R14)</f>
        <v>0</v>
      </c>
      <c r="T14" s="77">
        <f>+E14-S14</f>
        <v>0</v>
      </c>
    </row>
    <row r="15" spans="1:21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T15" si="1">+E3+E5+E7+E12+E13+E14</f>
        <v>4953148</v>
      </c>
      <c r="F15" s="101">
        <f t="shared" si="1"/>
        <v>348083.76699999999</v>
      </c>
      <c r="G15" s="101">
        <f t="shared" si="1"/>
        <v>421226.05200000003</v>
      </c>
      <c r="H15" s="101">
        <f t="shared" si="1"/>
        <v>538907.00699999998</v>
      </c>
      <c r="I15" s="101">
        <f t="shared" si="1"/>
        <v>0</v>
      </c>
      <c r="J15" s="101">
        <f t="shared" si="1"/>
        <v>0</v>
      </c>
      <c r="K15" s="101">
        <f t="shared" si="1"/>
        <v>0</v>
      </c>
      <c r="L15" s="101">
        <f t="shared" si="1"/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101">
        <f t="shared" si="1"/>
        <v>0</v>
      </c>
      <c r="S15" s="101">
        <f t="shared" si="1"/>
        <v>1306376.8260000001</v>
      </c>
      <c r="T15" s="101">
        <f t="shared" si="1"/>
        <v>3615872.1740000001</v>
      </c>
    </row>
    <row r="16" spans="1:21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</row>
    <row r="17" spans="1:21" ht="19.5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17</v>
      </c>
      <c r="J17" s="105" t="s">
        <v>18</v>
      </c>
      <c r="K17" s="105" t="s">
        <v>23</v>
      </c>
      <c r="L17" s="105" t="s">
        <v>25</v>
      </c>
      <c r="M17" s="105" t="s">
        <v>26</v>
      </c>
      <c r="N17" s="105" t="s">
        <v>27</v>
      </c>
      <c r="O17" s="105" t="s">
        <v>28</v>
      </c>
      <c r="P17" s="105" t="s">
        <v>29</v>
      </c>
      <c r="Q17" s="105" t="s">
        <v>30</v>
      </c>
      <c r="R17" s="105" t="s">
        <v>31</v>
      </c>
      <c r="S17" s="105" t="s">
        <v>65</v>
      </c>
      <c r="T17" s="106" t="s">
        <v>15</v>
      </c>
      <c r="U17" s="107" t="s">
        <v>81</v>
      </c>
    </row>
    <row r="18" spans="1:21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f>+ENERO2021!E19</f>
        <v>3573390</v>
      </c>
      <c r="F18" s="75">
        <f>+ENERO2021!F19</f>
        <v>248675.761</v>
      </c>
      <c r="G18" s="75">
        <v>248120.367</v>
      </c>
      <c r="H18" s="75">
        <v>426964.80699999997</v>
      </c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109">
        <f t="shared" ref="S18:S28" si="2">SUM(F18:R18)</f>
        <v>923760.93500000006</v>
      </c>
      <c r="T18" s="77">
        <f>+E18-S18</f>
        <v>2649629.0649999999</v>
      </c>
      <c r="U18" s="110">
        <f t="shared" ref="U18:U30" si="3">IFERROR(+S18/E18,0)</f>
        <v>0.25851108751073909</v>
      </c>
    </row>
    <row r="19" spans="1:21" ht="15" thickBot="1" x14ac:dyDescent="0.4">
      <c r="A19" s="72">
        <v>22</v>
      </c>
      <c r="B19" s="111"/>
      <c r="C19" s="74" t="s">
        <v>53</v>
      </c>
      <c r="D19" s="75">
        <f>+ENERO2021!D20</f>
        <v>711003</v>
      </c>
      <c r="E19" s="75">
        <v>806478</v>
      </c>
      <c r="F19" s="75">
        <f>+ENERO2021!F20</f>
        <v>3024.1469999999999</v>
      </c>
      <c r="G19" s="75">
        <v>12722.98</v>
      </c>
      <c r="H19" s="75">
        <v>79019.615000000005</v>
      </c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109">
        <f t="shared" si="2"/>
        <v>94766.741999999998</v>
      </c>
      <c r="T19" s="77">
        <f>+E19-S19</f>
        <v>711711.25800000003</v>
      </c>
      <c r="U19" s="110">
        <f t="shared" si="3"/>
        <v>0.1175069152537329</v>
      </c>
    </row>
    <row r="20" spans="1:21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109">
        <f t="shared" si="2"/>
        <v>0</v>
      </c>
      <c r="T20" s="77">
        <f>+E20-S20</f>
        <v>0</v>
      </c>
      <c r="U20" s="110">
        <f t="shared" si="3"/>
        <v>0</v>
      </c>
    </row>
    <row r="21" spans="1:21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109">
        <f t="shared" si="2"/>
        <v>85678.292000000001</v>
      </c>
      <c r="T21" s="77">
        <f>+E21-S21</f>
        <v>425226.70799999998</v>
      </c>
      <c r="U21" s="110">
        <f t="shared" si="3"/>
        <v>0.16769906734128653</v>
      </c>
    </row>
    <row r="22" spans="1:21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109">
        <f t="shared" si="2"/>
        <v>0</v>
      </c>
      <c r="T22" s="77">
        <f>+E22-S22</f>
        <v>0</v>
      </c>
      <c r="U22" s="110">
        <f t="shared" si="3"/>
        <v>0</v>
      </c>
    </row>
    <row r="23" spans="1:21" ht="15" thickTop="1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62375</v>
      </c>
      <c r="F23" s="75">
        <f t="shared" ref="F23:R23" si="4">SUM(F24:F28)</f>
        <v>0</v>
      </c>
      <c r="G23" s="75">
        <v>2626.6329999999998</v>
      </c>
      <c r="H23" s="75">
        <f t="shared" si="4"/>
        <v>0</v>
      </c>
      <c r="I23" s="75">
        <f t="shared" si="4"/>
        <v>0</v>
      </c>
      <c r="J23" s="75">
        <f t="shared" si="4"/>
        <v>0</v>
      </c>
      <c r="K23" s="75">
        <f t="shared" si="4"/>
        <v>0</v>
      </c>
      <c r="L23" s="75">
        <f t="shared" si="4"/>
        <v>0</v>
      </c>
      <c r="M23" s="75">
        <f t="shared" si="4"/>
        <v>0</v>
      </c>
      <c r="N23" s="75">
        <f t="shared" si="4"/>
        <v>0</v>
      </c>
      <c r="O23" s="75">
        <f t="shared" si="4"/>
        <v>0</v>
      </c>
      <c r="P23" s="75">
        <f t="shared" si="4"/>
        <v>0</v>
      </c>
      <c r="Q23" s="75">
        <f t="shared" si="4"/>
        <v>0</v>
      </c>
      <c r="R23" s="75">
        <f t="shared" si="4"/>
        <v>0</v>
      </c>
      <c r="S23" s="109">
        <f t="shared" si="2"/>
        <v>2626.6329999999998</v>
      </c>
      <c r="T23" s="77">
        <f>SUM(T24:T28)</f>
        <v>59748.366999999998</v>
      </c>
      <c r="U23" s="110">
        <f t="shared" si="3"/>
        <v>4.2110348697394787E-2</v>
      </c>
    </row>
    <row r="24" spans="1:21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115">
        <f t="shared" si="2"/>
        <v>0</v>
      </c>
      <c r="T24" s="91">
        <f>+E24-S24</f>
        <v>0</v>
      </c>
      <c r="U24" s="110">
        <f t="shared" si="3"/>
        <v>0</v>
      </c>
    </row>
    <row r="25" spans="1:21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</f>
        <v>1423</v>
      </c>
      <c r="F25" s="90">
        <f>+ENERO2021!F26</f>
        <v>0</v>
      </c>
      <c r="G25" s="90">
        <v>0</v>
      </c>
      <c r="H25" s="90">
        <v>0</v>
      </c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15">
        <f t="shared" si="2"/>
        <v>0</v>
      </c>
      <c r="T25" s="91">
        <f>+E25-S25</f>
        <v>1423</v>
      </c>
      <c r="U25" s="110">
        <f t="shared" si="3"/>
        <v>0</v>
      </c>
    </row>
    <row r="26" spans="1:21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f>+ENERO2021!E27</f>
        <v>0</v>
      </c>
      <c r="F26" s="90">
        <f>+ENERO2021!F27</f>
        <v>0</v>
      </c>
      <c r="G26" s="90">
        <v>0</v>
      </c>
      <c r="H26" s="90">
        <v>0</v>
      </c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115">
        <f t="shared" si="2"/>
        <v>0</v>
      </c>
      <c r="T26" s="91">
        <f>+E26-S26</f>
        <v>0</v>
      </c>
      <c r="U26" s="110">
        <f t="shared" si="3"/>
        <v>0</v>
      </c>
    </row>
    <row r="27" spans="1:21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</f>
        <v>1340</v>
      </c>
      <c r="F27" s="90">
        <f>+ENERO2021!F28</f>
        <v>0</v>
      </c>
      <c r="G27" s="90">
        <v>0</v>
      </c>
      <c r="H27" s="90">
        <v>0</v>
      </c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115">
        <f t="shared" si="2"/>
        <v>0</v>
      </c>
      <c r="T27" s="91">
        <f>+E27-S27</f>
        <v>1340</v>
      </c>
      <c r="U27" s="110">
        <f t="shared" si="3"/>
        <v>0</v>
      </c>
    </row>
    <row r="28" spans="1:21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</f>
        <v>59612</v>
      </c>
      <c r="F28" s="90">
        <f>+ENERO2021!F29</f>
        <v>0</v>
      </c>
      <c r="G28" s="90">
        <v>2626.6329999999998</v>
      </c>
      <c r="H28" s="90">
        <v>0</v>
      </c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15">
        <f t="shared" si="2"/>
        <v>2626.6329999999998</v>
      </c>
      <c r="T28" s="91">
        <f>+E28-S28</f>
        <v>56985.366999999998</v>
      </c>
      <c r="U28" s="110">
        <f t="shared" si="3"/>
        <v>4.4062151915721666E-2</v>
      </c>
    </row>
    <row r="29" spans="1:21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3"/>
      <c r="K29" s="93"/>
      <c r="L29" s="93"/>
      <c r="M29" s="93"/>
      <c r="N29" s="93"/>
      <c r="O29" s="93"/>
      <c r="P29" s="93"/>
      <c r="Q29" s="93"/>
      <c r="R29" s="93"/>
      <c r="S29" s="116"/>
      <c r="T29" s="91"/>
      <c r="U29" s="110">
        <f t="shared" si="3"/>
        <v>0</v>
      </c>
    </row>
    <row r="30" spans="1:21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f>+D30</f>
        <v>0</v>
      </c>
      <c r="F30" s="96">
        <v>0</v>
      </c>
      <c r="G30" s="96">
        <v>179135.307</v>
      </c>
      <c r="H30" s="96">
        <v>0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160">
        <f>SUM(F30:M30)</f>
        <v>179135.307</v>
      </c>
      <c r="T30" s="77">
        <f>+E30-S30</f>
        <v>-179135.307</v>
      </c>
      <c r="U30" s="110">
        <f t="shared" si="3"/>
        <v>0</v>
      </c>
    </row>
    <row r="31" spans="1:21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0"/>
      <c r="K31" s="90"/>
      <c r="L31" s="90"/>
      <c r="M31" s="90"/>
      <c r="N31" s="90"/>
      <c r="O31" s="90"/>
      <c r="P31" s="90"/>
      <c r="Q31" s="90"/>
      <c r="R31" s="90"/>
      <c r="S31" s="116"/>
      <c r="T31" s="91"/>
      <c r="U31" s="117"/>
    </row>
    <row r="32" spans="1:21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74"/>
      <c r="K32" s="74"/>
      <c r="L32" s="74"/>
      <c r="M32" s="74"/>
      <c r="N32" s="74"/>
      <c r="O32" s="74"/>
      <c r="P32" s="74"/>
      <c r="Q32" s="74"/>
      <c r="R32" s="74"/>
      <c r="S32" s="115">
        <f>SUM(F32:R32)</f>
        <v>0</v>
      </c>
      <c r="T32" s="91">
        <v>0</v>
      </c>
      <c r="U32" s="117"/>
    </row>
    <row r="33" spans="1:21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4953148</v>
      </c>
      <c r="F33" s="120">
        <f t="shared" ref="F33:T33" si="5">+F32+F30+F23+F22+F21+F20+F19+F18</f>
        <v>283060.81</v>
      </c>
      <c r="G33" s="120">
        <f t="shared" si="5"/>
        <v>469401.46100000001</v>
      </c>
      <c r="H33" s="120">
        <f t="shared" si="5"/>
        <v>533505.63800000004</v>
      </c>
      <c r="I33" s="120">
        <f t="shared" si="5"/>
        <v>0</v>
      </c>
      <c r="J33" s="120">
        <f t="shared" si="5"/>
        <v>0</v>
      </c>
      <c r="K33" s="120">
        <f>+K32+K30+K23+K22+K21+K20+K19+K18</f>
        <v>0</v>
      </c>
      <c r="L33" s="120">
        <f t="shared" si="5"/>
        <v>0</v>
      </c>
      <c r="M33" s="120">
        <f>+M32+M30+M23+M22+M21+M20+M19+M18</f>
        <v>0</v>
      </c>
      <c r="N33" s="120">
        <f t="shared" si="5"/>
        <v>0</v>
      </c>
      <c r="O33" s="120">
        <f t="shared" si="5"/>
        <v>0</v>
      </c>
      <c r="P33" s="120">
        <f t="shared" si="5"/>
        <v>0</v>
      </c>
      <c r="Q33" s="120">
        <f>+Q32+Q30+Q23+Q22+Q21+Q20+Q19+Q18</f>
        <v>0</v>
      </c>
      <c r="R33" s="120">
        <f t="shared" si="5"/>
        <v>0</v>
      </c>
      <c r="S33" s="120">
        <f>+S32+S30+S23+S22+S21+S20+S19+S18</f>
        <v>1285967.909</v>
      </c>
      <c r="T33" s="121">
        <f t="shared" si="5"/>
        <v>3667180.091</v>
      </c>
      <c r="U33" s="122">
        <f>+S33/E33</f>
        <v>0.25962638487685002</v>
      </c>
    </row>
    <row r="34" spans="1:21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5.7147658418444186E-2</v>
      </c>
      <c r="G34" s="127">
        <f t="shared" ref="G34:H34" si="6">+G33/$E$33</f>
        <v>9.4768309164192155E-2</v>
      </c>
      <c r="H34" s="127">
        <f t="shared" si="6"/>
        <v>0.10771041729421371</v>
      </c>
      <c r="I34" s="127">
        <f>+I33/E33</f>
        <v>0</v>
      </c>
      <c r="J34" s="127">
        <f>+J33/E33</f>
        <v>0</v>
      </c>
      <c r="K34" s="127">
        <f>+K33/E33</f>
        <v>0</v>
      </c>
      <c r="L34" s="127">
        <f>+L33/E33</f>
        <v>0</v>
      </c>
      <c r="M34" s="127">
        <f>+M33/E33</f>
        <v>0</v>
      </c>
      <c r="N34" s="127">
        <f>+N33/E33</f>
        <v>0</v>
      </c>
      <c r="O34" s="127">
        <f>+O33/E33</f>
        <v>0</v>
      </c>
      <c r="P34" s="127">
        <f>+P33/E33</f>
        <v>0</v>
      </c>
      <c r="Q34" s="127">
        <f>+Q33/E33</f>
        <v>0</v>
      </c>
      <c r="R34" s="127">
        <f>+R33/E33</f>
        <v>0</v>
      </c>
      <c r="S34" s="127">
        <f>+S33/E33</f>
        <v>0.25962638487685002</v>
      </c>
      <c r="T34" s="127">
        <f>+T33/E33</f>
        <v>0.74037361512314992</v>
      </c>
      <c r="U34" s="128"/>
    </row>
    <row r="35" spans="1:21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67"/>
      <c r="S35" s="134">
        <f>+S33</f>
        <v>1285967.909</v>
      </c>
      <c r="T35" s="134">
        <f>+T33</f>
        <v>3667180.091</v>
      </c>
      <c r="U35" s="136"/>
    </row>
    <row r="36" spans="1:21" x14ac:dyDescent="0.35">
      <c r="C36" s="136"/>
      <c r="D36" s="161" t="s">
        <v>9</v>
      </c>
      <c r="E36" s="161"/>
      <c r="F36" s="161"/>
      <c r="G36" s="161"/>
      <c r="H36" s="161"/>
      <c r="I36" s="168"/>
      <c r="J36" s="168"/>
      <c r="K36" s="168"/>
      <c r="L36" s="169"/>
      <c r="M36" s="169"/>
      <c r="N36" s="169"/>
      <c r="O36" s="169"/>
      <c r="P36" s="169"/>
      <c r="Q36" s="169"/>
      <c r="R36" s="170"/>
      <c r="S36" s="159">
        <f>+S35/E33</f>
        <v>0.25962638487685002</v>
      </c>
      <c r="T36" s="162">
        <f>+T35/E33</f>
        <v>0.74037361512314992</v>
      </c>
      <c r="U36" s="155"/>
    </row>
    <row r="37" spans="1:21" x14ac:dyDescent="0.35">
      <c r="C37" s="143"/>
      <c r="D37" s="143"/>
      <c r="E37" s="136"/>
      <c r="F37" s="136"/>
      <c r="G37" s="136"/>
      <c r="H37" s="136"/>
      <c r="I37" s="171" t="s">
        <v>13</v>
      </c>
      <c r="J37" s="171"/>
      <c r="K37" s="171"/>
      <c r="L37" s="172"/>
      <c r="M37" s="172"/>
      <c r="N37" s="172"/>
      <c r="O37" s="172"/>
      <c r="P37" s="172"/>
      <c r="Q37" s="172"/>
      <c r="R37" s="173"/>
      <c r="S37" s="162">
        <f>(3/12)</f>
        <v>0.25</v>
      </c>
      <c r="T37" s="162">
        <f>+(9/12)</f>
        <v>0.75</v>
      </c>
    </row>
    <row r="38" spans="1:21" hidden="1" x14ac:dyDescent="0.35">
      <c r="E38" s="136"/>
      <c r="F38" s="136"/>
      <c r="G38" s="136"/>
      <c r="H38" s="136"/>
      <c r="I38" s="172" t="s">
        <v>8</v>
      </c>
      <c r="J38" s="172"/>
      <c r="K38" s="172"/>
      <c r="L38" s="172"/>
      <c r="M38" s="172"/>
      <c r="N38" s="172"/>
      <c r="O38" s="172"/>
      <c r="P38" s="172"/>
      <c r="Q38" s="172"/>
      <c r="R38" s="173"/>
      <c r="S38" s="163">
        <f>+S36-S37</f>
        <v>9.6263848768500249E-3</v>
      </c>
      <c r="T38" s="155"/>
    </row>
    <row r="39" spans="1:21" x14ac:dyDescent="0.35">
      <c r="C39" s="130"/>
      <c r="D39" s="130"/>
      <c r="E39" s="136">
        <f>+E15-E33</f>
        <v>0</v>
      </c>
      <c r="F39" s="136"/>
      <c r="G39" s="136"/>
      <c r="H39" s="136"/>
      <c r="I39" s="174" t="s">
        <v>10</v>
      </c>
      <c r="J39" s="174"/>
      <c r="K39" s="174"/>
      <c r="L39" s="172"/>
      <c r="M39" s="172"/>
      <c r="N39" s="172"/>
      <c r="O39" s="172"/>
      <c r="P39" s="172"/>
      <c r="Q39" s="172"/>
      <c r="R39" s="173"/>
      <c r="S39" s="164">
        <f>+IF(+S38&gt;0,+S38,0)</f>
        <v>9.6263848768500249E-3</v>
      </c>
      <c r="U39" s="136" t="s">
        <v>6</v>
      </c>
    </row>
    <row r="40" spans="1:21" x14ac:dyDescent="0.35">
      <c r="D40" s="149"/>
      <c r="E40" s="136"/>
      <c r="F40" s="136"/>
      <c r="G40" s="136"/>
      <c r="H40" s="136"/>
      <c r="I40" s="174" t="s">
        <v>11</v>
      </c>
      <c r="J40" s="174"/>
      <c r="K40" s="174"/>
      <c r="L40" s="172"/>
      <c r="M40" s="172"/>
      <c r="N40" s="172"/>
      <c r="O40" s="172"/>
      <c r="P40" s="172"/>
      <c r="Q40" s="172"/>
      <c r="R40" s="173"/>
      <c r="S40" s="165">
        <f>+IF(+S38&gt;0,0,-S38)</f>
        <v>0</v>
      </c>
      <c r="U40" s="136" t="s">
        <v>6</v>
      </c>
    </row>
    <row r="41" spans="1:21" x14ac:dyDescent="0.35">
      <c r="D41" s="149"/>
      <c r="I41" s="174" t="s">
        <v>12</v>
      </c>
      <c r="J41" s="174"/>
      <c r="K41" s="174"/>
      <c r="L41" s="173"/>
      <c r="M41" s="173"/>
      <c r="N41" s="173"/>
      <c r="O41" s="173"/>
      <c r="P41" s="173"/>
      <c r="Q41" s="173"/>
      <c r="R41" s="173"/>
      <c r="S41" s="166">
        <f>+S40*E33</f>
        <v>0</v>
      </c>
    </row>
  </sheetData>
  <mergeCells count="9">
    <mergeCell ref="A1:T1"/>
    <mergeCell ref="I39:K39"/>
    <mergeCell ref="I40:K40"/>
    <mergeCell ref="I41:K41"/>
    <mergeCell ref="A16:U16"/>
    <mergeCell ref="D35:R35"/>
    <mergeCell ref="D36:K36"/>
    <mergeCell ref="C37:D37"/>
    <mergeCell ref="I37:K37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D9D6-1294-4D25-B5A5-DFFA35FABCDB}">
  <sheetPr>
    <tabColor theme="0"/>
    <pageSetUpPr fitToPage="1"/>
  </sheetPr>
  <dimension ref="A1:T42"/>
  <sheetViews>
    <sheetView showGridLines="0" zoomScale="75" zoomScaleNormal="75" zoomScaleSheetLayoutView="75" workbookViewId="0">
      <selection activeCell="G6" sqref="G6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6" width="13.26953125" style="129" customWidth="1"/>
    <col min="7" max="7" width="11.54296875" style="129" customWidth="1"/>
    <col min="8" max="8" width="13.453125" style="129" hidden="1" customWidth="1"/>
    <col min="9" max="10" width="10.1796875" style="129" hidden="1" customWidth="1"/>
    <col min="11" max="11" width="10.453125" style="129" hidden="1" customWidth="1"/>
    <col min="12" max="12" width="10.1796875" style="129" hidden="1" customWidth="1"/>
    <col min="13" max="13" width="11" style="129" hidden="1" customWidth="1"/>
    <col min="14" max="16" width="10.453125" style="129" hidden="1" customWidth="1"/>
    <col min="17" max="17" width="16" style="129" hidden="1" customWidth="1"/>
    <col min="18" max="18" width="17.54296875" style="129" customWidth="1"/>
    <col min="19" max="19" width="22.453125" style="129" bestFit="1" customWidth="1"/>
    <col min="20" max="20" width="19.26953125" style="129" customWidth="1"/>
    <col min="21" max="16384" width="10.90625" style="129"/>
  </cols>
  <sheetData>
    <row r="1" spans="1:20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20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27</v>
      </c>
      <c r="N2" s="69" t="s">
        <v>28</v>
      </c>
      <c r="O2" s="69" t="s">
        <v>29</v>
      </c>
      <c r="P2" s="69" t="s">
        <v>30</v>
      </c>
      <c r="Q2" s="69" t="s">
        <v>31</v>
      </c>
      <c r="R2" s="69" t="s">
        <v>38</v>
      </c>
      <c r="S2" s="70" t="s">
        <v>39</v>
      </c>
    </row>
    <row r="3" spans="1:20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f>+ENERO2021!E3</f>
        <v>4794834</v>
      </c>
      <c r="F3" s="75">
        <f>+ENERO2021!F3</f>
        <v>346000</v>
      </c>
      <c r="G3" s="75">
        <v>418584.22100000002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>
        <f>SUM(F3:H3)</f>
        <v>764584.22100000002</v>
      </c>
      <c r="S3" s="77">
        <f>+E3-R3</f>
        <v>4030249.7790000001</v>
      </c>
    </row>
    <row r="4" spans="1:20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77"/>
    </row>
    <row r="5" spans="1:20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</f>
        <v>31476</v>
      </c>
      <c r="F5" s="75">
        <f>+ENERO2021!F5</f>
        <v>2083.7669999999998</v>
      </c>
      <c r="G5" s="75">
        <v>2641.8310000000001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>
        <f>SUM(F5:Q5)</f>
        <v>4725.598</v>
      </c>
      <c r="S5" s="77">
        <f>+E5-R5</f>
        <v>26750.402000000002</v>
      </c>
    </row>
    <row r="6" spans="1:20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86"/>
    </row>
    <row r="7" spans="1:20" x14ac:dyDescent="0.35">
      <c r="A7" s="72">
        <v>8</v>
      </c>
      <c r="B7" s="87"/>
      <c r="C7" s="74" t="s">
        <v>36</v>
      </c>
      <c r="D7" s="75">
        <f t="shared" ref="D7:Q7" si="0">+D8+D10+D9</f>
        <v>37439</v>
      </c>
      <c r="E7" s="75">
        <f t="shared" si="0"/>
        <v>37439</v>
      </c>
      <c r="F7" s="75">
        <f t="shared" si="0"/>
        <v>0</v>
      </c>
      <c r="G7" s="75">
        <f t="shared" si="0"/>
        <v>0</v>
      </c>
      <c r="H7" s="75">
        <f t="shared" si="0"/>
        <v>0</v>
      </c>
      <c r="I7" s="75">
        <f t="shared" si="0"/>
        <v>0</v>
      </c>
      <c r="J7" s="75">
        <f t="shared" si="0"/>
        <v>0</v>
      </c>
      <c r="K7" s="75">
        <f t="shared" si="0"/>
        <v>0</v>
      </c>
      <c r="L7" s="75">
        <f t="shared" si="0"/>
        <v>0</v>
      </c>
      <c r="M7" s="75">
        <f t="shared" si="0"/>
        <v>0</v>
      </c>
      <c r="N7" s="75">
        <f t="shared" si="0"/>
        <v>0</v>
      </c>
      <c r="O7" s="75">
        <f t="shared" si="0"/>
        <v>0</v>
      </c>
      <c r="P7" s="75">
        <f t="shared" si="0"/>
        <v>0</v>
      </c>
      <c r="Q7" s="75">
        <f t="shared" si="0"/>
        <v>0</v>
      </c>
      <c r="R7" s="75">
        <f>SUM(F7:Q7)</f>
        <v>0</v>
      </c>
      <c r="S7" s="77">
        <f>SUM(S8:S10)</f>
        <v>37439</v>
      </c>
    </row>
    <row r="8" spans="1:20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>
        <f>SUM(F8:Q8)</f>
        <v>0</v>
      </c>
      <c r="S8" s="91">
        <f>+E8-R8</f>
        <v>37439</v>
      </c>
    </row>
    <row r="9" spans="1:20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>
        <f>SUM(F9:Q9)</f>
        <v>0</v>
      </c>
      <c r="S9" s="91"/>
    </row>
    <row r="10" spans="1:20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>
        <f>SUM(F10:Q10)</f>
        <v>0</v>
      </c>
      <c r="S10" s="91">
        <f>+E10-R10</f>
        <v>0</v>
      </c>
    </row>
    <row r="11" spans="1:20" x14ac:dyDescent="0.35">
      <c r="A11" s="92"/>
      <c r="B11" s="88"/>
      <c r="C11" s="93"/>
      <c r="D11" s="90"/>
      <c r="E11" s="94"/>
      <c r="F11" s="90"/>
      <c r="G11" s="90"/>
      <c r="H11" s="90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1"/>
    </row>
    <row r="12" spans="1:20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f>+ENERO2021!E12</f>
        <v>0</v>
      </c>
      <c r="F12" s="93"/>
      <c r="G12" s="93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>
        <f>SUM(F12:Q12)</f>
        <v>0</v>
      </c>
      <c r="S12" s="91">
        <f>+E12-R12</f>
        <v>0</v>
      </c>
    </row>
    <row r="13" spans="1:20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</f>
        <v>30899</v>
      </c>
      <c r="F13" s="93"/>
      <c r="G13" s="93">
        <v>0</v>
      </c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/>
    </row>
    <row r="14" spans="1:20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f>+ENERO2021!E14</f>
        <v>0</v>
      </c>
      <c r="F14" s="96">
        <v>0</v>
      </c>
      <c r="G14" s="96">
        <v>0</v>
      </c>
      <c r="H14" s="96"/>
      <c r="I14" s="74"/>
      <c r="J14" s="74"/>
      <c r="K14" s="74"/>
      <c r="L14" s="74"/>
      <c r="M14" s="74"/>
      <c r="N14" s="74"/>
      <c r="O14" s="74"/>
      <c r="P14" s="74"/>
      <c r="Q14" s="74"/>
      <c r="R14" s="90">
        <f>SUM(H14:Q14)</f>
        <v>0</v>
      </c>
      <c r="S14" s="77">
        <f>+E14-R14</f>
        <v>0</v>
      </c>
    </row>
    <row r="15" spans="1:20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S15" si="1">+E3+E5+E7+E12+E13+E14</f>
        <v>4894648</v>
      </c>
      <c r="F15" s="101">
        <f t="shared" si="1"/>
        <v>348083.76699999999</v>
      </c>
      <c r="G15" s="101">
        <f t="shared" si="1"/>
        <v>421226.05200000003</v>
      </c>
      <c r="H15" s="101">
        <f t="shared" si="1"/>
        <v>0</v>
      </c>
      <c r="I15" s="101">
        <f t="shared" si="1"/>
        <v>0</v>
      </c>
      <c r="J15" s="101">
        <f t="shared" si="1"/>
        <v>0</v>
      </c>
      <c r="K15" s="101">
        <f t="shared" si="1"/>
        <v>0</v>
      </c>
      <c r="L15" s="101">
        <f t="shared" si="1"/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101">
        <f t="shared" si="1"/>
        <v>769309.81900000002</v>
      </c>
      <c r="S15" s="101">
        <f t="shared" si="1"/>
        <v>4094439.1809999999</v>
      </c>
    </row>
    <row r="16" spans="1:20" ht="15" thickTop="1" x14ac:dyDescent="0.35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1:20" ht="15" thickBot="1" x14ac:dyDescent="0.4">
      <c r="A17" s="152" t="s">
        <v>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0" ht="17.5" customHeight="1" thickTop="1" x14ac:dyDescent="0.35">
      <c r="A18" s="102" t="s">
        <v>0</v>
      </c>
      <c r="B18" s="103" t="s">
        <v>1</v>
      </c>
      <c r="C18" s="104" t="s">
        <v>2</v>
      </c>
      <c r="D18" s="104" t="s">
        <v>16</v>
      </c>
      <c r="E18" s="104" t="s">
        <v>3</v>
      </c>
      <c r="F18" s="105" t="s">
        <v>5</v>
      </c>
      <c r="G18" s="105" t="s">
        <v>40</v>
      </c>
      <c r="H18" s="105" t="s">
        <v>17</v>
      </c>
      <c r="I18" s="105" t="s">
        <v>18</v>
      </c>
      <c r="J18" s="105" t="s">
        <v>23</v>
      </c>
      <c r="K18" s="105" t="s">
        <v>25</v>
      </c>
      <c r="L18" s="105" t="s">
        <v>26</v>
      </c>
      <c r="M18" s="105" t="s">
        <v>27</v>
      </c>
      <c r="N18" s="105" t="s">
        <v>28</v>
      </c>
      <c r="O18" s="105" t="s">
        <v>29</v>
      </c>
      <c r="P18" s="105" t="s">
        <v>30</v>
      </c>
      <c r="Q18" s="105" t="s">
        <v>31</v>
      </c>
      <c r="R18" s="105" t="s">
        <v>65</v>
      </c>
      <c r="S18" s="106" t="s">
        <v>15</v>
      </c>
      <c r="T18" s="107" t="s">
        <v>81</v>
      </c>
    </row>
    <row r="19" spans="1:20" x14ac:dyDescent="0.35">
      <c r="A19" s="72">
        <v>21</v>
      </c>
      <c r="B19" s="108"/>
      <c r="C19" s="74" t="s">
        <v>52</v>
      </c>
      <c r="D19" s="75">
        <f>+ENERO2021!D19</f>
        <v>3573390</v>
      </c>
      <c r="E19" s="75">
        <f>+ENERO2021!E19</f>
        <v>3573390</v>
      </c>
      <c r="F19" s="75">
        <f>+ENERO2021!F19</f>
        <v>248675.761</v>
      </c>
      <c r="G19" s="75">
        <v>248120.367</v>
      </c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109">
        <f t="shared" ref="R19:R29" si="2">SUM(F19:Q19)</f>
        <v>496796.12800000003</v>
      </c>
      <c r="S19" s="77">
        <f>+E19-R19</f>
        <v>3076593.872</v>
      </c>
      <c r="T19" s="110">
        <f t="shared" ref="T19:T31" si="3">IFERROR(+R19/E19,0)</f>
        <v>0.13902656245190143</v>
      </c>
    </row>
    <row r="20" spans="1:20" ht="15" thickBot="1" x14ac:dyDescent="0.4">
      <c r="A20" s="72">
        <v>22</v>
      </c>
      <c r="B20" s="111"/>
      <c r="C20" s="74" t="s">
        <v>53</v>
      </c>
      <c r="D20" s="75">
        <f>+ENERO2021!D20</f>
        <v>711003</v>
      </c>
      <c r="E20" s="75">
        <f>+ENERO2021!E20</f>
        <v>747978</v>
      </c>
      <c r="F20" s="75">
        <f>+ENERO2021!F20</f>
        <v>3024.1469999999999</v>
      </c>
      <c r="G20" s="75">
        <v>12722.98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109">
        <f t="shared" si="2"/>
        <v>15747.127</v>
      </c>
      <c r="S20" s="77">
        <f>+E20-R20</f>
        <v>732230.87300000002</v>
      </c>
      <c r="T20" s="110">
        <f t="shared" si="3"/>
        <v>2.1052928027294922E-2</v>
      </c>
    </row>
    <row r="21" spans="1:20" x14ac:dyDescent="0.35">
      <c r="A21" s="72">
        <v>23</v>
      </c>
      <c r="B21" s="111"/>
      <c r="C21" s="74" t="s">
        <v>54</v>
      </c>
      <c r="D21" s="75">
        <f>+ENERO2021!D21</f>
        <v>0</v>
      </c>
      <c r="E21" s="75">
        <f>+ENERO2021!E21</f>
        <v>0</v>
      </c>
      <c r="F21" s="75">
        <f>+ENERO2021!F21</f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109">
        <f t="shared" si="2"/>
        <v>0</v>
      </c>
      <c r="S21" s="77">
        <f>+E21-R21</f>
        <v>0</v>
      </c>
      <c r="T21" s="110">
        <f t="shared" si="3"/>
        <v>0</v>
      </c>
    </row>
    <row r="22" spans="1:20" x14ac:dyDescent="0.35">
      <c r="A22" s="72">
        <v>24</v>
      </c>
      <c r="B22" s="111"/>
      <c r="C22" s="74" t="s">
        <v>24</v>
      </c>
      <c r="D22" s="75">
        <f>+ENERO2021!D22</f>
        <v>510905</v>
      </c>
      <c r="E22" s="75">
        <f>+ENERO2021!E22</f>
        <v>510905</v>
      </c>
      <c r="F22" s="75">
        <f>+ENERO2021!F22</f>
        <v>31360.901999999998</v>
      </c>
      <c r="G22" s="75">
        <v>26796.173999999999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109">
        <f t="shared" si="2"/>
        <v>58157.076000000001</v>
      </c>
      <c r="S22" s="77">
        <f>+E22-R22</f>
        <v>452747.924</v>
      </c>
      <c r="T22" s="110">
        <f t="shared" si="3"/>
        <v>0.11383148726279838</v>
      </c>
    </row>
    <row r="23" spans="1:20" x14ac:dyDescent="0.35">
      <c r="A23" s="72">
        <v>26</v>
      </c>
      <c r="B23" s="112"/>
      <c r="C23" s="74" t="s">
        <v>55</v>
      </c>
      <c r="D23" s="75">
        <f>+ENERO2021!D23</f>
        <v>0</v>
      </c>
      <c r="E23" s="75">
        <f>+ENERO2021!E23</f>
        <v>0</v>
      </c>
      <c r="F23" s="75">
        <f>+ENERO2021!F23</f>
        <v>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109">
        <f t="shared" si="2"/>
        <v>0</v>
      </c>
      <c r="S23" s="77">
        <f>+E23-R23</f>
        <v>0</v>
      </c>
      <c r="T23" s="110">
        <f t="shared" si="3"/>
        <v>0</v>
      </c>
    </row>
    <row r="24" spans="1:20" x14ac:dyDescent="0.35">
      <c r="A24" s="72">
        <v>29</v>
      </c>
      <c r="B24" s="113"/>
      <c r="C24" s="74" t="s">
        <v>56</v>
      </c>
      <c r="D24" s="75">
        <f>SUM(D25:D29)</f>
        <v>62375</v>
      </c>
      <c r="E24" s="75">
        <f>SUM(E25:E29)</f>
        <v>62375</v>
      </c>
      <c r="F24" s="75">
        <f t="shared" ref="F24:Q24" si="4">SUM(F25:F29)</f>
        <v>0</v>
      </c>
      <c r="G24" s="75">
        <f t="shared" si="4"/>
        <v>2626.6329999999998</v>
      </c>
      <c r="H24" s="75">
        <f t="shared" si="4"/>
        <v>0</v>
      </c>
      <c r="I24" s="75">
        <f t="shared" si="4"/>
        <v>0</v>
      </c>
      <c r="J24" s="75">
        <f t="shared" si="4"/>
        <v>0</v>
      </c>
      <c r="K24" s="75">
        <f t="shared" si="4"/>
        <v>0</v>
      </c>
      <c r="L24" s="75">
        <f t="shared" si="4"/>
        <v>0</v>
      </c>
      <c r="M24" s="75">
        <f t="shared" si="4"/>
        <v>0</v>
      </c>
      <c r="N24" s="75">
        <f t="shared" si="4"/>
        <v>0</v>
      </c>
      <c r="O24" s="75">
        <f t="shared" si="4"/>
        <v>0</v>
      </c>
      <c r="P24" s="75">
        <f t="shared" si="4"/>
        <v>0</v>
      </c>
      <c r="Q24" s="75">
        <f t="shared" si="4"/>
        <v>0</v>
      </c>
      <c r="R24" s="109">
        <f t="shared" si="2"/>
        <v>2626.6329999999998</v>
      </c>
      <c r="S24" s="77">
        <f>SUM(S25:S29)</f>
        <v>59748.366999999998</v>
      </c>
      <c r="T24" s="110">
        <f t="shared" si="3"/>
        <v>4.2110348697394787E-2</v>
      </c>
    </row>
    <row r="25" spans="1:20" x14ac:dyDescent="0.35">
      <c r="A25" s="72"/>
      <c r="B25" s="114" t="s">
        <v>20</v>
      </c>
      <c r="C25" s="89" t="s">
        <v>41</v>
      </c>
      <c r="D25" s="90">
        <f>+ENERO2021!D25</f>
        <v>0</v>
      </c>
      <c r="E25" s="90">
        <f>+ENERO2021!E25</f>
        <v>0</v>
      </c>
      <c r="F25" s="90">
        <f>+ENERO2021!F25</f>
        <v>0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115">
        <f t="shared" si="2"/>
        <v>0</v>
      </c>
      <c r="S25" s="91">
        <f>+E25-R25</f>
        <v>0</v>
      </c>
      <c r="T25" s="110">
        <f t="shared" si="3"/>
        <v>0</v>
      </c>
    </row>
    <row r="26" spans="1:20" x14ac:dyDescent="0.35">
      <c r="A26" s="72"/>
      <c r="B26" s="114" t="s">
        <v>42</v>
      </c>
      <c r="C26" s="89" t="s">
        <v>45</v>
      </c>
      <c r="D26" s="90">
        <f>+ENERO2021!D26</f>
        <v>1423</v>
      </c>
      <c r="E26" s="90">
        <f>+ENERO2021!E26</f>
        <v>1423</v>
      </c>
      <c r="F26" s="90">
        <f>+ENERO2021!F26</f>
        <v>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115">
        <f t="shared" si="2"/>
        <v>0</v>
      </c>
      <c r="S26" s="91">
        <f>+E26-R26</f>
        <v>1423</v>
      </c>
      <c r="T26" s="110">
        <f t="shared" si="3"/>
        <v>0</v>
      </c>
    </row>
    <row r="27" spans="1:20" x14ac:dyDescent="0.35">
      <c r="A27" s="72"/>
      <c r="B27" s="114" t="s">
        <v>43</v>
      </c>
      <c r="C27" s="89" t="s">
        <v>46</v>
      </c>
      <c r="D27" s="90">
        <f>+ENERO2021!D27</f>
        <v>0</v>
      </c>
      <c r="E27" s="90">
        <f>+ENERO2021!E27</f>
        <v>0</v>
      </c>
      <c r="F27" s="90">
        <f>+ENERO2021!F27</f>
        <v>0</v>
      </c>
      <c r="G27" s="90">
        <v>0</v>
      </c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115">
        <f t="shared" si="2"/>
        <v>0</v>
      </c>
      <c r="S27" s="91">
        <f>+E27-R27</f>
        <v>0</v>
      </c>
      <c r="T27" s="110">
        <f t="shared" si="3"/>
        <v>0</v>
      </c>
    </row>
    <row r="28" spans="1:20" x14ac:dyDescent="0.35">
      <c r="A28" s="72"/>
      <c r="B28" s="114" t="s">
        <v>21</v>
      </c>
      <c r="C28" s="93" t="s">
        <v>47</v>
      </c>
      <c r="D28" s="90">
        <f>+ENERO2021!D28</f>
        <v>1340</v>
      </c>
      <c r="E28" s="90">
        <f>+ENERO2021!E28</f>
        <v>1340</v>
      </c>
      <c r="F28" s="90">
        <f>+ENERO2021!F28</f>
        <v>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115">
        <f t="shared" si="2"/>
        <v>0</v>
      </c>
      <c r="S28" s="91">
        <f>+E28-R28</f>
        <v>1340</v>
      </c>
      <c r="T28" s="110">
        <f t="shared" si="3"/>
        <v>0</v>
      </c>
    </row>
    <row r="29" spans="1:20" x14ac:dyDescent="0.35">
      <c r="A29" s="72"/>
      <c r="B29" s="114" t="s">
        <v>44</v>
      </c>
      <c r="C29" s="93" t="s">
        <v>48</v>
      </c>
      <c r="D29" s="90">
        <f>+ENERO2021!D29</f>
        <v>59612</v>
      </c>
      <c r="E29" s="90">
        <f>+ENERO2021!E29</f>
        <v>59612</v>
      </c>
      <c r="F29" s="90">
        <f>+ENERO2021!F29</f>
        <v>0</v>
      </c>
      <c r="G29" s="90">
        <v>2626.6329999999998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115">
        <f t="shared" si="2"/>
        <v>2626.6329999999998</v>
      </c>
      <c r="S29" s="91">
        <f>+E29-R29</f>
        <v>56985.366999999998</v>
      </c>
      <c r="T29" s="110">
        <f t="shared" si="3"/>
        <v>4.4062151915721666E-2</v>
      </c>
    </row>
    <row r="30" spans="1:20" x14ac:dyDescent="0.35">
      <c r="A30" s="92"/>
      <c r="B30" s="114"/>
      <c r="C30" s="93"/>
      <c r="D30" s="90"/>
      <c r="E30" s="90"/>
      <c r="F30" s="90"/>
      <c r="G30" s="90"/>
      <c r="H30" s="90"/>
      <c r="I30" s="93"/>
      <c r="J30" s="93"/>
      <c r="K30" s="93"/>
      <c r="L30" s="93"/>
      <c r="M30" s="93"/>
      <c r="N30" s="93"/>
      <c r="O30" s="93"/>
      <c r="P30" s="93"/>
      <c r="Q30" s="93"/>
      <c r="R30" s="116"/>
      <c r="S30" s="91"/>
      <c r="T30" s="110">
        <f t="shared" si="3"/>
        <v>0</v>
      </c>
    </row>
    <row r="31" spans="1:20" x14ac:dyDescent="0.35">
      <c r="A31" s="72">
        <v>34</v>
      </c>
      <c r="B31" s="114"/>
      <c r="C31" s="74" t="s">
        <v>22</v>
      </c>
      <c r="D31" s="96">
        <f>+ENERO2021!D31</f>
        <v>0</v>
      </c>
      <c r="E31" s="96">
        <f>+D31</f>
        <v>0</v>
      </c>
      <c r="F31" s="96">
        <v>0</v>
      </c>
      <c r="G31" s="96">
        <v>179135.307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160">
        <f>SUM(F31:L31)</f>
        <v>179135.307</v>
      </c>
      <c r="S31" s="77">
        <f>+E31-R31</f>
        <v>-179135.307</v>
      </c>
      <c r="T31" s="110">
        <f t="shared" si="3"/>
        <v>0</v>
      </c>
    </row>
    <row r="32" spans="1:20" x14ac:dyDescent="0.35">
      <c r="A32" s="72"/>
      <c r="B32" s="114"/>
      <c r="C32" s="93"/>
      <c r="D32" s="93"/>
      <c r="E32" s="93"/>
      <c r="F32" s="93"/>
      <c r="G32" s="93"/>
      <c r="H32" s="93"/>
      <c r="I32" s="90"/>
      <c r="J32" s="90"/>
      <c r="K32" s="90"/>
      <c r="L32" s="90"/>
      <c r="M32" s="90"/>
      <c r="N32" s="90"/>
      <c r="O32" s="90"/>
      <c r="P32" s="90"/>
      <c r="Q32" s="90"/>
      <c r="R32" s="116"/>
      <c r="S32" s="91"/>
      <c r="T32" s="117"/>
    </row>
    <row r="33" spans="1:20" x14ac:dyDescent="0.35">
      <c r="A33" s="72">
        <v>35</v>
      </c>
      <c r="B33" s="114"/>
      <c r="C33" s="74" t="s">
        <v>14</v>
      </c>
      <c r="D33" s="96">
        <v>0</v>
      </c>
      <c r="E33" s="96">
        <f>+D33</f>
        <v>0</v>
      </c>
      <c r="F33" s="96"/>
      <c r="G33" s="96"/>
      <c r="H33" s="96"/>
      <c r="I33" s="74"/>
      <c r="J33" s="74"/>
      <c r="K33" s="74"/>
      <c r="L33" s="74"/>
      <c r="M33" s="74"/>
      <c r="N33" s="74"/>
      <c r="O33" s="74"/>
      <c r="P33" s="74"/>
      <c r="Q33" s="74"/>
      <c r="R33" s="115">
        <f>SUM(F33:Q33)</f>
        <v>0</v>
      </c>
      <c r="S33" s="91">
        <v>0</v>
      </c>
      <c r="T33" s="117"/>
    </row>
    <row r="34" spans="1:20" ht="15" thickBot="1" x14ac:dyDescent="0.4">
      <c r="A34" s="98"/>
      <c r="B34" s="118"/>
      <c r="C34" s="119" t="s">
        <v>4</v>
      </c>
      <c r="D34" s="120">
        <f>+D33+D31+D24+D23+D22+D21+D20+D19</f>
        <v>4857673</v>
      </c>
      <c r="E34" s="120">
        <f>+E33+E31+E24+E23+E22+E21+E20+E19</f>
        <v>4894648</v>
      </c>
      <c r="F34" s="120">
        <f t="shared" ref="F34:S34" si="5">+F33+F31+F24+F23+F22+F21+F20+F19</f>
        <v>283060.81</v>
      </c>
      <c r="G34" s="120">
        <f t="shared" si="5"/>
        <v>469401.46100000001</v>
      </c>
      <c r="H34" s="120">
        <f t="shared" si="5"/>
        <v>0</v>
      </c>
      <c r="I34" s="120">
        <f t="shared" si="5"/>
        <v>0</v>
      </c>
      <c r="J34" s="120">
        <f>+J33+J31+J24+J23+J22+J21+J20+J19</f>
        <v>0</v>
      </c>
      <c r="K34" s="120">
        <f t="shared" si="5"/>
        <v>0</v>
      </c>
      <c r="L34" s="120">
        <f>+L33+L31+L24+L23+L22+L21+L20+L19</f>
        <v>0</v>
      </c>
      <c r="M34" s="120">
        <f t="shared" si="5"/>
        <v>0</v>
      </c>
      <c r="N34" s="120">
        <f t="shared" si="5"/>
        <v>0</v>
      </c>
      <c r="O34" s="120">
        <f t="shared" si="5"/>
        <v>0</v>
      </c>
      <c r="P34" s="120">
        <f>+P33+P31+P24+P23+P22+P21+P20+P19</f>
        <v>0</v>
      </c>
      <c r="Q34" s="120">
        <f t="shared" si="5"/>
        <v>0</v>
      </c>
      <c r="R34" s="120">
        <f>+R33+R31+R24+R23+R22+R21+R20+R19</f>
        <v>752462.27100000007</v>
      </c>
      <c r="S34" s="175">
        <f t="shared" si="5"/>
        <v>4142185.7290000003</v>
      </c>
      <c r="T34" s="122">
        <f>+R34/E34</f>
        <v>0.15373164137645853</v>
      </c>
    </row>
    <row r="35" spans="1:20" ht="15" thickTop="1" x14ac:dyDescent="0.35">
      <c r="A35" s="123"/>
      <c r="B35" s="124"/>
      <c r="C35" s="125" t="s">
        <v>91</v>
      </c>
      <c r="D35" s="126"/>
      <c r="E35" s="126"/>
      <c r="F35" s="127">
        <f>+F34/E34</f>
        <v>5.7830677507350887E-2</v>
      </c>
      <c r="G35" s="127">
        <f>+G34/E34</f>
        <v>9.5900963869107653E-2</v>
      </c>
      <c r="H35" s="127">
        <f>+H34/E34</f>
        <v>0</v>
      </c>
      <c r="I35" s="127">
        <f>+I34/E34</f>
        <v>0</v>
      </c>
      <c r="J35" s="127">
        <f>+J34/E34</f>
        <v>0</v>
      </c>
      <c r="K35" s="127">
        <f>+K34/E34</f>
        <v>0</v>
      </c>
      <c r="L35" s="127">
        <f>+L34/E34</f>
        <v>0</v>
      </c>
      <c r="M35" s="127">
        <f>+M34/E34</f>
        <v>0</v>
      </c>
      <c r="N35" s="127">
        <f>+N34/E34</f>
        <v>0</v>
      </c>
      <c r="O35" s="127">
        <f>+O34/E34</f>
        <v>0</v>
      </c>
      <c r="P35" s="127">
        <f>+P34/E34</f>
        <v>0</v>
      </c>
      <c r="Q35" s="127">
        <f>+Q34/E34</f>
        <v>0</v>
      </c>
      <c r="R35" s="127">
        <f>+R34/E34</f>
        <v>0.15373164137645853</v>
      </c>
      <c r="S35" s="176">
        <f>+S34/E34</f>
        <v>0.84626835862354155</v>
      </c>
      <c r="T35" s="177"/>
    </row>
    <row r="36" spans="1:20" ht="27" customHeight="1" x14ac:dyDescent="0.35">
      <c r="C36" s="130"/>
      <c r="D36" s="131" t="s">
        <v>7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67"/>
      <c r="R36" s="134">
        <f>+R34</f>
        <v>752462.27100000007</v>
      </c>
      <c r="S36" s="134">
        <f>+S34</f>
        <v>4142185.7290000003</v>
      </c>
      <c r="T36" s="136"/>
    </row>
    <row r="37" spans="1:20" ht="56.25" customHeight="1" x14ac:dyDescent="0.35">
      <c r="C37" s="136"/>
      <c r="D37" s="161" t="s">
        <v>9</v>
      </c>
      <c r="E37" s="161"/>
      <c r="F37" s="161"/>
      <c r="G37" s="161"/>
      <c r="H37" s="168"/>
      <c r="I37" s="168"/>
      <c r="J37" s="168"/>
      <c r="K37" s="169"/>
      <c r="L37" s="169"/>
      <c r="M37" s="169"/>
      <c r="N37" s="169"/>
      <c r="O37" s="169"/>
      <c r="P37" s="169"/>
      <c r="Q37" s="170"/>
      <c r="R37" s="159">
        <f>+R36/E34</f>
        <v>0.15373164137645853</v>
      </c>
      <c r="S37" s="162">
        <f>+S36/E34</f>
        <v>0.84626835862354155</v>
      </c>
      <c r="T37" s="155"/>
    </row>
    <row r="38" spans="1:20" x14ac:dyDescent="0.35">
      <c r="C38" s="143"/>
      <c r="D38" s="143"/>
      <c r="E38" s="136"/>
      <c r="F38" s="136"/>
      <c r="G38" s="136"/>
      <c r="H38" s="171" t="s">
        <v>13</v>
      </c>
      <c r="I38" s="171"/>
      <c r="J38" s="171"/>
      <c r="K38" s="172"/>
      <c r="L38" s="172"/>
      <c r="M38" s="172"/>
      <c r="N38" s="172"/>
      <c r="O38" s="172"/>
      <c r="P38" s="172"/>
      <c r="Q38" s="173"/>
      <c r="R38" s="162">
        <f>(2/12)</f>
        <v>0.16666666666666666</v>
      </c>
      <c r="S38" s="162">
        <f>+(10/12)</f>
        <v>0.83333333333333337</v>
      </c>
    </row>
    <row r="39" spans="1:20" hidden="1" x14ac:dyDescent="0.35">
      <c r="E39" s="136"/>
      <c r="F39" s="136"/>
      <c r="G39" s="136"/>
      <c r="H39" s="172" t="s">
        <v>8</v>
      </c>
      <c r="I39" s="172"/>
      <c r="J39" s="172"/>
      <c r="K39" s="172"/>
      <c r="L39" s="172"/>
      <c r="M39" s="172"/>
      <c r="N39" s="172"/>
      <c r="O39" s="172"/>
      <c r="P39" s="172"/>
      <c r="Q39" s="173"/>
      <c r="R39" s="163">
        <f>+R37-R38</f>
        <v>-1.2935025290208124E-2</v>
      </c>
      <c r="S39" s="155"/>
    </row>
    <row r="40" spans="1:20" x14ac:dyDescent="0.35">
      <c r="C40" s="130"/>
      <c r="D40" s="130"/>
      <c r="E40" s="136">
        <f>+E15-E34</f>
        <v>0</v>
      </c>
      <c r="F40" s="136"/>
      <c r="G40" s="136"/>
      <c r="H40" s="174" t="s">
        <v>10</v>
      </c>
      <c r="I40" s="174"/>
      <c r="J40" s="174"/>
      <c r="K40" s="172"/>
      <c r="L40" s="172"/>
      <c r="M40" s="172"/>
      <c r="N40" s="172"/>
      <c r="O40" s="172"/>
      <c r="P40" s="172"/>
      <c r="Q40" s="173"/>
      <c r="R40" s="164">
        <f>+IF(+R39&gt;0,+R39,0)</f>
        <v>0</v>
      </c>
      <c r="T40" s="136" t="s">
        <v>6</v>
      </c>
    </row>
    <row r="41" spans="1:20" x14ac:dyDescent="0.35">
      <c r="D41" s="149"/>
      <c r="E41" s="136"/>
      <c r="F41" s="136"/>
      <c r="G41" s="136"/>
      <c r="H41" s="174" t="s">
        <v>11</v>
      </c>
      <c r="I41" s="174"/>
      <c r="J41" s="174"/>
      <c r="K41" s="172"/>
      <c r="L41" s="172"/>
      <c r="M41" s="172"/>
      <c r="N41" s="172"/>
      <c r="O41" s="172"/>
      <c r="P41" s="172"/>
      <c r="Q41" s="173"/>
      <c r="R41" s="165">
        <f>+IF(+R39&gt;0,0,-R39)</f>
        <v>1.2935025290208124E-2</v>
      </c>
      <c r="T41" s="136" t="s">
        <v>6</v>
      </c>
    </row>
    <row r="42" spans="1:20" x14ac:dyDescent="0.35">
      <c r="D42" s="149"/>
      <c r="H42" s="174" t="s">
        <v>12</v>
      </c>
      <c r="I42" s="174"/>
      <c r="J42" s="174"/>
      <c r="K42" s="173"/>
      <c r="L42" s="173"/>
      <c r="M42" s="173"/>
      <c r="N42" s="173"/>
      <c r="O42" s="173"/>
      <c r="P42" s="173"/>
      <c r="Q42" s="173"/>
      <c r="R42" s="166">
        <f>+R41*E34</f>
        <v>63312.395666666613</v>
      </c>
    </row>
  </sheetData>
  <mergeCells count="10">
    <mergeCell ref="A16:T16"/>
    <mergeCell ref="A1:S1"/>
    <mergeCell ref="H40:J40"/>
    <mergeCell ref="H41:J41"/>
    <mergeCell ref="H42:J42"/>
    <mergeCell ref="A17:T17"/>
    <mergeCell ref="D36:Q36"/>
    <mergeCell ref="D37:J37"/>
    <mergeCell ref="C38:D38"/>
    <mergeCell ref="H38:J38"/>
  </mergeCells>
  <printOptions horizontalCentered="1"/>
  <pageMargins left="0.15748031496062992" right="0.19685039370078741" top="0.51181102362204722" bottom="0.35433070866141736" header="0.15748031496062992" footer="0.15748031496062992"/>
  <pageSetup paperSize="7" scale="53" orientation="landscape" r:id="rId1"/>
  <headerFooter alignWithMargins="0"/>
  <rowBreaks count="1" manualBreakCount="1">
    <brk id="15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46973-C8FD-4775-9DCF-DAA55A9634EE}">
  <sheetPr>
    <tabColor theme="0"/>
  </sheetPr>
  <dimension ref="A1:V52"/>
  <sheetViews>
    <sheetView showGridLines="0" zoomScale="75" zoomScaleNormal="75" zoomScaleSheetLayoutView="75" workbookViewId="0">
      <selection activeCell="R10" sqref="R9:R10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6" width="13.26953125" style="129" customWidth="1"/>
    <col min="7" max="7" width="11.54296875" style="129" hidden="1" customWidth="1"/>
    <col min="8" max="8" width="13.453125" style="129" hidden="1" customWidth="1"/>
    <col min="9" max="10" width="10.1796875" style="129" hidden="1" customWidth="1"/>
    <col min="11" max="11" width="10.453125" style="129" hidden="1" customWidth="1"/>
    <col min="12" max="12" width="10.1796875" style="129" hidden="1" customWidth="1"/>
    <col min="13" max="13" width="11" style="129" hidden="1" customWidth="1"/>
    <col min="14" max="16" width="10.453125" style="129" hidden="1" customWidth="1"/>
    <col min="17" max="17" width="16" style="129" hidden="1" customWidth="1"/>
    <col min="18" max="18" width="17.54296875" style="129" customWidth="1"/>
    <col min="19" max="19" width="22.453125" style="129" bestFit="1" customWidth="1"/>
    <col min="20" max="20" width="19.26953125" style="129" customWidth="1"/>
    <col min="21" max="21" width="15.453125" style="129" bestFit="1" customWidth="1"/>
    <col min="22" max="22" width="4.54296875" style="129" customWidth="1"/>
    <col min="23" max="16384" width="10.90625" style="129"/>
  </cols>
  <sheetData>
    <row r="1" spans="1:20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20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27</v>
      </c>
      <c r="N2" s="69" t="s">
        <v>28</v>
      </c>
      <c r="O2" s="69" t="s">
        <v>29</v>
      </c>
      <c r="P2" s="69" t="s">
        <v>30</v>
      </c>
      <c r="Q2" s="69" t="s">
        <v>31</v>
      </c>
      <c r="R2" s="69" t="s">
        <v>38</v>
      </c>
      <c r="S2" s="70" t="s">
        <v>39</v>
      </c>
    </row>
    <row r="3" spans="1:20" x14ac:dyDescent="0.35">
      <c r="A3" s="72">
        <v>5</v>
      </c>
      <c r="B3" s="73"/>
      <c r="C3" s="74" t="s">
        <v>24</v>
      </c>
      <c r="D3" s="75">
        <v>4757859</v>
      </c>
      <c r="E3" s="76">
        <f>4757859+36975</f>
        <v>4794834</v>
      </c>
      <c r="F3" s="75">
        <v>346000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>
        <f>SUM(F3:H3)</f>
        <v>346000</v>
      </c>
      <c r="S3" s="77">
        <f>+E3-R3</f>
        <v>4448834</v>
      </c>
    </row>
    <row r="4" spans="1:20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77"/>
    </row>
    <row r="5" spans="1:20" x14ac:dyDescent="0.35">
      <c r="A5" s="72">
        <v>6</v>
      </c>
      <c r="B5" s="82"/>
      <c r="C5" s="74" t="s">
        <v>34</v>
      </c>
      <c r="D5" s="75">
        <v>31476</v>
      </c>
      <c r="E5" s="83">
        <v>31476</v>
      </c>
      <c r="F5" s="75">
        <v>2083.7669999999998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>
        <f>SUM(F5:Q5)</f>
        <v>2083.7669999999998</v>
      </c>
      <c r="S5" s="77">
        <f>+E5-R5</f>
        <v>29392.233</v>
      </c>
    </row>
    <row r="6" spans="1:20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86"/>
    </row>
    <row r="7" spans="1:20" x14ac:dyDescent="0.35">
      <c r="A7" s="72">
        <v>8</v>
      </c>
      <c r="B7" s="87"/>
      <c r="C7" s="74" t="s">
        <v>36</v>
      </c>
      <c r="D7" s="75">
        <f t="shared" ref="D7:F7" si="0">+D8+D10+D9</f>
        <v>37439</v>
      </c>
      <c r="E7" s="75">
        <f t="shared" si="0"/>
        <v>37439</v>
      </c>
      <c r="F7" s="75">
        <f t="shared" si="0"/>
        <v>0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>
        <f>SUM(F7:Q7)</f>
        <v>0</v>
      </c>
      <c r="S7" s="77">
        <f>SUM(S8:S10)</f>
        <v>37439</v>
      </c>
    </row>
    <row r="8" spans="1:20" x14ac:dyDescent="0.35">
      <c r="A8" s="72"/>
      <c r="B8" s="88" t="s">
        <v>19</v>
      </c>
      <c r="C8" s="89" t="s">
        <v>50</v>
      </c>
      <c r="D8" s="90">
        <v>37439</v>
      </c>
      <c r="E8" s="90">
        <v>37439</v>
      </c>
      <c r="F8" s="90"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>
        <f>SUM(F8:Q8)</f>
        <v>0</v>
      </c>
      <c r="S8" s="91">
        <f>+E8-R8</f>
        <v>37439</v>
      </c>
    </row>
    <row r="9" spans="1:20" x14ac:dyDescent="0.35">
      <c r="A9" s="72"/>
      <c r="B9" s="88" t="s">
        <v>59</v>
      </c>
      <c r="C9" s="89" t="s">
        <v>60</v>
      </c>
      <c r="D9" s="90">
        <v>0</v>
      </c>
      <c r="E9" s="90">
        <v>0</v>
      </c>
      <c r="F9" s="90">
        <v>0</v>
      </c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>
        <f>SUM(F9:Q9)</f>
        <v>0</v>
      </c>
      <c r="S9" s="91"/>
    </row>
    <row r="10" spans="1:20" x14ac:dyDescent="0.35">
      <c r="A10" s="72"/>
      <c r="B10" s="88" t="s">
        <v>35</v>
      </c>
      <c r="C10" s="89" t="s">
        <v>51</v>
      </c>
      <c r="D10" s="90">
        <v>0</v>
      </c>
      <c r="E10" s="90">
        <v>0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>
        <f>SUM(F10:Q10)</f>
        <v>0</v>
      </c>
      <c r="S10" s="91">
        <f>+E10-R10</f>
        <v>0</v>
      </c>
    </row>
    <row r="11" spans="1:20" x14ac:dyDescent="0.35">
      <c r="A11" s="92"/>
      <c r="B11" s="88"/>
      <c r="C11" s="93"/>
      <c r="D11" s="90"/>
      <c r="E11" s="94"/>
      <c r="F11" s="90"/>
      <c r="G11" s="90"/>
      <c r="H11" s="90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1"/>
    </row>
    <row r="12" spans="1:20" x14ac:dyDescent="0.35">
      <c r="A12" s="72">
        <v>12</v>
      </c>
      <c r="B12" s="95"/>
      <c r="C12" s="74" t="s">
        <v>86</v>
      </c>
      <c r="D12" s="93"/>
      <c r="E12" s="85"/>
      <c r="F12" s="93"/>
      <c r="G12" s="93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>
        <f>SUM(F12:Q12)</f>
        <v>0</v>
      </c>
      <c r="S12" s="91">
        <f>+E12-R12</f>
        <v>0</v>
      </c>
    </row>
    <row r="13" spans="1:20" x14ac:dyDescent="0.35">
      <c r="A13" s="72">
        <v>13</v>
      </c>
      <c r="B13" s="95"/>
      <c r="C13" s="74" t="s">
        <v>95</v>
      </c>
      <c r="D13" s="90">
        <v>30899</v>
      </c>
      <c r="E13" s="90">
        <v>30899</v>
      </c>
      <c r="F13" s="93"/>
      <c r="G13" s="93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1">
        <f>+E13-R13</f>
        <v>30899</v>
      </c>
    </row>
    <row r="14" spans="1:20" x14ac:dyDescent="0.35">
      <c r="A14" s="72">
        <v>15</v>
      </c>
      <c r="B14" s="95"/>
      <c r="C14" s="74" t="s">
        <v>37</v>
      </c>
      <c r="D14" s="96">
        <v>0</v>
      </c>
      <c r="E14" s="97">
        <v>0</v>
      </c>
      <c r="F14" s="96"/>
      <c r="G14" s="96"/>
      <c r="H14" s="96"/>
      <c r="I14" s="74"/>
      <c r="J14" s="74"/>
      <c r="K14" s="74"/>
      <c r="L14" s="74"/>
      <c r="M14" s="74"/>
      <c r="N14" s="74"/>
      <c r="O14" s="74"/>
      <c r="P14" s="74"/>
      <c r="Q14" s="74"/>
      <c r="R14" s="90">
        <f>SUM(H14:Q14)</f>
        <v>0</v>
      </c>
      <c r="S14" s="77">
        <f>+E14-R14</f>
        <v>0</v>
      </c>
    </row>
    <row r="15" spans="1:20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S15" si="1">+E3+E5+E7+E12+E13+E14</f>
        <v>4894648</v>
      </c>
      <c r="F15" s="101">
        <f t="shared" si="1"/>
        <v>348083.76699999999</v>
      </c>
      <c r="G15" s="101">
        <f t="shared" si="1"/>
        <v>0</v>
      </c>
      <c r="H15" s="101">
        <f t="shared" si="1"/>
        <v>0</v>
      </c>
      <c r="I15" s="101">
        <f t="shared" si="1"/>
        <v>0</v>
      </c>
      <c r="J15" s="101">
        <f t="shared" si="1"/>
        <v>0</v>
      </c>
      <c r="K15" s="101">
        <f t="shared" si="1"/>
        <v>0</v>
      </c>
      <c r="L15" s="101">
        <f t="shared" si="1"/>
        <v>0</v>
      </c>
      <c r="M15" s="101">
        <f t="shared" si="1"/>
        <v>0</v>
      </c>
      <c r="N15" s="101">
        <f t="shared" si="1"/>
        <v>0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101">
        <f t="shared" si="1"/>
        <v>348083.76699999999</v>
      </c>
      <c r="S15" s="101">
        <f t="shared" si="1"/>
        <v>4546564.233</v>
      </c>
    </row>
    <row r="16" spans="1:20" ht="15" thickTop="1" x14ac:dyDescent="0.35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</row>
    <row r="17" spans="1:22" ht="15" thickBot="1" x14ac:dyDescent="0.4">
      <c r="A17" s="152" t="s">
        <v>96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</row>
    <row r="18" spans="1:22" ht="19" customHeight="1" thickTop="1" x14ac:dyDescent="0.35">
      <c r="A18" s="102" t="s">
        <v>0</v>
      </c>
      <c r="B18" s="103" t="s">
        <v>1</v>
      </c>
      <c r="C18" s="104" t="s">
        <v>2</v>
      </c>
      <c r="D18" s="104" t="s">
        <v>16</v>
      </c>
      <c r="E18" s="104" t="s">
        <v>3</v>
      </c>
      <c r="F18" s="105" t="s">
        <v>5</v>
      </c>
      <c r="G18" s="105" t="s">
        <v>40</v>
      </c>
      <c r="H18" s="105" t="s">
        <v>17</v>
      </c>
      <c r="I18" s="105" t="s">
        <v>18</v>
      </c>
      <c r="J18" s="105" t="s">
        <v>23</v>
      </c>
      <c r="K18" s="105" t="s">
        <v>25</v>
      </c>
      <c r="L18" s="105" t="s">
        <v>26</v>
      </c>
      <c r="M18" s="105" t="s">
        <v>27</v>
      </c>
      <c r="N18" s="105" t="s">
        <v>28</v>
      </c>
      <c r="O18" s="105" t="s">
        <v>29</v>
      </c>
      <c r="P18" s="105" t="s">
        <v>30</v>
      </c>
      <c r="Q18" s="105" t="s">
        <v>31</v>
      </c>
      <c r="R18" s="105" t="s">
        <v>65</v>
      </c>
      <c r="S18" s="106" t="s">
        <v>15</v>
      </c>
      <c r="T18" s="107" t="s">
        <v>81</v>
      </c>
    </row>
    <row r="19" spans="1:22" x14ac:dyDescent="0.35">
      <c r="A19" s="72">
        <v>21</v>
      </c>
      <c r="B19" s="108"/>
      <c r="C19" s="74" t="s">
        <v>52</v>
      </c>
      <c r="D19" s="75">
        <v>3573390</v>
      </c>
      <c r="E19" s="75">
        <v>3573390</v>
      </c>
      <c r="F19" s="75">
        <v>248675.761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109">
        <f t="shared" ref="R19:R29" si="2">SUM(F19:Q19)</f>
        <v>248675.761</v>
      </c>
      <c r="S19" s="77">
        <f>+E19-R19</f>
        <v>3324714.2390000001</v>
      </c>
      <c r="T19" s="110">
        <f>IFERROR(+R19/E19,0)</f>
        <v>6.9590993706256529E-2</v>
      </c>
    </row>
    <row r="20" spans="1:22" x14ac:dyDescent="0.35">
      <c r="A20" s="72">
        <v>22</v>
      </c>
      <c r="B20" s="111"/>
      <c r="C20" s="74" t="s">
        <v>53</v>
      </c>
      <c r="D20" s="75">
        <v>711003</v>
      </c>
      <c r="E20" s="75">
        <f>711003+36975</f>
        <v>747978</v>
      </c>
      <c r="F20" s="75">
        <v>3024.1469999999999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109">
        <f t="shared" si="2"/>
        <v>3024.1469999999999</v>
      </c>
      <c r="S20" s="77">
        <f>+E20-R20</f>
        <v>744953.853</v>
      </c>
      <c r="T20" s="110">
        <f t="shared" ref="T20:T33" si="3">IFERROR(+R20/E20,0)</f>
        <v>4.0430961873210176E-3</v>
      </c>
    </row>
    <row r="21" spans="1:22" x14ac:dyDescent="0.35">
      <c r="A21" s="72">
        <v>23</v>
      </c>
      <c r="B21" s="111"/>
      <c r="C21" s="74" t="s">
        <v>54</v>
      </c>
      <c r="D21" s="75">
        <v>0</v>
      </c>
      <c r="E21" s="75">
        <v>0</v>
      </c>
      <c r="F21" s="75"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109">
        <f t="shared" si="2"/>
        <v>0</v>
      </c>
      <c r="S21" s="77">
        <f>+E21-R21</f>
        <v>0</v>
      </c>
      <c r="T21" s="110">
        <f t="shared" si="3"/>
        <v>0</v>
      </c>
    </row>
    <row r="22" spans="1:22" x14ac:dyDescent="0.35">
      <c r="A22" s="72">
        <v>24</v>
      </c>
      <c r="B22" s="111"/>
      <c r="C22" s="74" t="s">
        <v>24</v>
      </c>
      <c r="D22" s="75">
        <v>510905</v>
      </c>
      <c r="E22" s="75">
        <v>510905</v>
      </c>
      <c r="F22" s="75">
        <v>31360.901999999998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109">
        <f t="shared" si="2"/>
        <v>31360.901999999998</v>
      </c>
      <c r="S22" s="77">
        <f>+E22-R22</f>
        <v>479544.098</v>
      </c>
      <c r="T22" s="110">
        <f t="shared" si="3"/>
        <v>6.138303989978567E-2</v>
      </c>
    </row>
    <row r="23" spans="1:22" x14ac:dyDescent="0.35">
      <c r="A23" s="72">
        <v>26</v>
      </c>
      <c r="B23" s="112"/>
      <c r="C23" s="74" t="s">
        <v>55</v>
      </c>
      <c r="D23" s="75">
        <v>0</v>
      </c>
      <c r="E23" s="75">
        <v>0</v>
      </c>
      <c r="F23" s="75">
        <v>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109">
        <f t="shared" si="2"/>
        <v>0</v>
      </c>
      <c r="S23" s="77">
        <f>+E23-R23</f>
        <v>0</v>
      </c>
      <c r="T23" s="110">
        <f t="shared" si="3"/>
        <v>0</v>
      </c>
    </row>
    <row r="24" spans="1:22" x14ac:dyDescent="0.35">
      <c r="A24" s="72">
        <v>29</v>
      </c>
      <c r="B24" s="113"/>
      <c r="C24" s="74" t="s">
        <v>56</v>
      </c>
      <c r="D24" s="75">
        <f>SUM(D25:D29)</f>
        <v>62375</v>
      </c>
      <c r="E24" s="75">
        <f>SUM(E25:E29)</f>
        <v>62375</v>
      </c>
      <c r="F24" s="75">
        <f t="shared" ref="F24:Q24" si="4">SUM(F25:F29)</f>
        <v>0</v>
      </c>
      <c r="G24" s="75">
        <f t="shared" si="4"/>
        <v>0</v>
      </c>
      <c r="H24" s="75">
        <f t="shared" si="4"/>
        <v>0</v>
      </c>
      <c r="I24" s="75">
        <f t="shared" si="4"/>
        <v>0</v>
      </c>
      <c r="J24" s="75">
        <f t="shared" si="4"/>
        <v>0</v>
      </c>
      <c r="K24" s="75">
        <f t="shared" si="4"/>
        <v>0</v>
      </c>
      <c r="L24" s="75">
        <f t="shared" si="4"/>
        <v>0</v>
      </c>
      <c r="M24" s="75">
        <f t="shared" si="4"/>
        <v>0</v>
      </c>
      <c r="N24" s="75">
        <f t="shared" si="4"/>
        <v>0</v>
      </c>
      <c r="O24" s="75">
        <f t="shared" si="4"/>
        <v>0</v>
      </c>
      <c r="P24" s="75">
        <f t="shared" si="4"/>
        <v>0</v>
      </c>
      <c r="Q24" s="75">
        <f t="shared" si="4"/>
        <v>0</v>
      </c>
      <c r="R24" s="109">
        <f t="shared" si="2"/>
        <v>0</v>
      </c>
      <c r="S24" s="77">
        <f>SUM(S25:S29)</f>
        <v>62375</v>
      </c>
      <c r="T24" s="110">
        <f t="shared" si="3"/>
        <v>0</v>
      </c>
      <c r="U24" s="136"/>
      <c r="V24" s="149"/>
    </row>
    <row r="25" spans="1:22" x14ac:dyDescent="0.35">
      <c r="A25" s="72"/>
      <c r="B25" s="114" t="s">
        <v>20</v>
      </c>
      <c r="C25" s="89" t="s">
        <v>41</v>
      </c>
      <c r="D25" s="90"/>
      <c r="E25" s="90">
        <v>0</v>
      </c>
      <c r="F25" s="90">
        <v>0</v>
      </c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115">
        <f t="shared" si="2"/>
        <v>0</v>
      </c>
      <c r="S25" s="91">
        <f>+E25-R25</f>
        <v>0</v>
      </c>
      <c r="T25" s="110">
        <f t="shared" si="3"/>
        <v>0</v>
      </c>
    </row>
    <row r="26" spans="1:22" x14ac:dyDescent="0.35">
      <c r="A26" s="72"/>
      <c r="B26" s="114" t="s">
        <v>42</v>
      </c>
      <c r="C26" s="89" t="s">
        <v>45</v>
      </c>
      <c r="D26" s="90">
        <v>1423</v>
      </c>
      <c r="E26" s="90">
        <v>1423</v>
      </c>
      <c r="F26" s="90">
        <v>0</v>
      </c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115">
        <f t="shared" si="2"/>
        <v>0</v>
      </c>
      <c r="S26" s="91">
        <f>+E26-R26</f>
        <v>1423</v>
      </c>
      <c r="T26" s="110">
        <f t="shared" si="3"/>
        <v>0</v>
      </c>
    </row>
    <row r="27" spans="1:22" x14ac:dyDescent="0.35">
      <c r="A27" s="72"/>
      <c r="B27" s="114" t="s">
        <v>43</v>
      </c>
      <c r="C27" s="89" t="s">
        <v>46</v>
      </c>
      <c r="D27" s="90">
        <v>0</v>
      </c>
      <c r="E27" s="90">
        <v>0</v>
      </c>
      <c r="F27" s="90">
        <v>0</v>
      </c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115">
        <f t="shared" si="2"/>
        <v>0</v>
      </c>
      <c r="S27" s="91">
        <f>+E27-R27</f>
        <v>0</v>
      </c>
      <c r="T27" s="110">
        <f t="shared" si="3"/>
        <v>0</v>
      </c>
    </row>
    <row r="28" spans="1:22" x14ac:dyDescent="0.35">
      <c r="A28" s="72"/>
      <c r="B28" s="114" t="s">
        <v>21</v>
      </c>
      <c r="C28" s="93" t="s">
        <v>47</v>
      </c>
      <c r="D28" s="90">
        <v>1340</v>
      </c>
      <c r="E28" s="90">
        <v>1340</v>
      </c>
      <c r="F28" s="90">
        <v>0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115">
        <f t="shared" si="2"/>
        <v>0</v>
      </c>
      <c r="S28" s="91">
        <f>+E28-R28</f>
        <v>1340</v>
      </c>
      <c r="T28" s="110">
        <f t="shared" si="3"/>
        <v>0</v>
      </c>
    </row>
    <row r="29" spans="1:22" x14ac:dyDescent="0.35">
      <c r="A29" s="72"/>
      <c r="B29" s="114" t="s">
        <v>44</v>
      </c>
      <c r="C29" s="93" t="s">
        <v>48</v>
      </c>
      <c r="D29" s="90">
        <v>59612</v>
      </c>
      <c r="E29" s="90">
        <v>59612</v>
      </c>
      <c r="F29" s="90">
        <v>0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115">
        <f t="shared" si="2"/>
        <v>0</v>
      </c>
      <c r="S29" s="91">
        <f>+E29-R29</f>
        <v>59612</v>
      </c>
      <c r="T29" s="110">
        <f t="shared" si="3"/>
        <v>0</v>
      </c>
    </row>
    <row r="30" spans="1:22" x14ac:dyDescent="0.35">
      <c r="A30" s="92"/>
      <c r="B30" s="114"/>
      <c r="C30" s="93"/>
      <c r="D30" s="90"/>
      <c r="E30" s="90"/>
      <c r="F30" s="90"/>
      <c r="G30" s="90"/>
      <c r="H30" s="90"/>
      <c r="I30" s="93"/>
      <c r="J30" s="93"/>
      <c r="K30" s="93"/>
      <c r="L30" s="93"/>
      <c r="M30" s="93"/>
      <c r="N30" s="93"/>
      <c r="O30" s="93"/>
      <c r="P30" s="93"/>
      <c r="Q30" s="93"/>
      <c r="R30" s="116"/>
      <c r="S30" s="91"/>
      <c r="T30" s="110">
        <f t="shared" si="3"/>
        <v>0</v>
      </c>
    </row>
    <row r="31" spans="1:22" x14ac:dyDescent="0.35">
      <c r="A31" s="72">
        <v>34</v>
      </c>
      <c r="B31" s="114"/>
      <c r="C31" s="74" t="s">
        <v>22</v>
      </c>
      <c r="D31" s="96">
        <v>0</v>
      </c>
      <c r="E31" s="96">
        <f>+D31</f>
        <v>0</v>
      </c>
      <c r="F31" s="96">
        <v>0</v>
      </c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160">
        <f>SUM(F31:L31)</f>
        <v>0</v>
      </c>
      <c r="S31" s="77">
        <f>+E31-R31</f>
        <v>0</v>
      </c>
      <c r="T31" s="110">
        <f t="shared" si="3"/>
        <v>0</v>
      </c>
    </row>
    <row r="32" spans="1:22" x14ac:dyDescent="0.35">
      <c r="A32" s="72"/>
      <c r="B32" s="114"/>
      <c r="C32" s="93"/>
      <c r="D32" s="93"/>
      <c r="E32" s="93"/>
      <c r="F32" s="93"/>
      <c r="G32" s="93"/>
      <c r="H32" s="93"/>
      <c r="I32" s="90"/>
      <c r="J32" s="90"/>
      <c r="K32" s="90"/>
      <c r="L32" s="90"/>
      <c r="M32" s="90"/>
      <c r="N32" s="90"/>
      <c r="O32" s="90"/>
      <c r="P32" s="90"/>
      <c r="Q32" s="90"/>
      <c r="R32" s="116"/>
      <c r="S32" s="91"/>
      <c r="T32" s="110">
        <f t="shared" si="3"/>
        <v>0</v>
      </c>
    </row>
    <row r="33" spans="1:22" x14ac:dyDescent="0.35">
      <c r="A33" s="72">
        <v>35</v>
      </c>
      <c r="B33" s="114"/>
      <c r="C33" s="74" t="s">
        <v>14</v>
      </c>
      <c r="D33" s="96">
        <v>0</v>
      </c>
      <c r="E33" s="96">
        <f>+D33</f>
        <v>0</v>
      </c>
      <c r="F33" s="96"/>
      <c r="G33" s="96"/>
      <c r="H33" s="96"/>
      <c r="I33" s="74"/>
      <c r="J33" s="74"/>
      <c r="K33" s="74"/>
      <c r="L33" s="74"/>
      <c r="M33" s="74"/>
      <c r="N33" s="74"/>
      <c r="O33" s="74"/>
      <c r="P33" s="74"/>
      <c r="Q33" s="74"/>
      <c r="R33" s="115">
        <f>SUM(F33:Q33)</f>
        <v>0</v>
      </c>
      <c r="S33" s="91">
        <v>0</v>
      </c>
      <c r="T33" s="110">
        <f t="shared" si="3"/>
        <v>0</v>
      </c>
    </row>
    <row r="34" spans="1:22" ht="15" thickBot="1" x14ac:dyDescent="0.4">
      <c r="A34" s="98"/>
      <c r="B34" s="118"/>
      <c r="C34" s="119" t="s">
        <v>4</v>
      </c>
      <c r="D34" s="120">
        <f>+D33+D31+D24+D23+D22+D21+D20+D19</f>
        <v>4857673</v>
      </c>
      <c r="E34" s="120">
        <f>+E33+E31+E24+E23+E22+E21+E20+E19</f>
        <v>4894648</v>
      </c>
      <c r="F34" s="120">
        <f t="shared" ref="F34:S34" si="5">+F33+F31+F24+F23+F22+F21+F20+F19</f>
        <v>283060.81</v>
      </c>
      <c r="G34" s="120">
        <f t="shared" si="5"/>
        <v>0</v>
      </c>
      <c r="H34" s="120">
        <f t="shared" si="5"/>
        <v>0</v>
      </c>
      <c r="I34" s="120">
        <f t="shared" si="5"/>
        <v>0</v>
      </c>
      <c r="J34" s="120">
        <f>+J33+J31+J24+J23+J22+J21+J20+J19</f>
        <v>0</v>
      </c>
      <c r="K34" s="120">
        <f t="shared" si="5"/>
        <v>0</v>
      </c>
      <c r="L34" s="120">
        <f>+L33+L31+L24+L23+L22+L21+L20+L19</f>
        <v>0</v>
      </c>
      <c r="M34" s="120">
        <f t="shared" si="5"/>
        <v>0</v>
      </c>
      <c r="N34" s="120">
        <f t="shared" si="5"/>
        <v>0</v>
      </c>
      <c r="O34" s="120">
        <f t="shared" si="5"/>
        <v>0</v>
      </c>
      <c r="P34" s="120">
        <f>+P33+P31+P24+P23+P22+P21+P20+P19</f>
        <v>0</v>
      </c>
      <c r="Q34" s="120">
        <f t="shared" si="5"/>
        <v>0</v>
      </c>
      <c r="R34" s="120">
        <f>+R33+R31+R24+R23+R22+R21+R20+R19</f>
        <v>283060.81</v>
      </c>
      <c r="S34" s="175">
        <f t="shared" si="5"/>
        <v>4611587.1899999995</v>
      </c>
      <c r="T34" s="122">
        <f>+R34/E34</f>
        <v>5.7830677507350887E-2</v>
      </c>
      <c r="U34" s="136"/>
    </row>
    <row r="35" spans="1:22" ht="15" thickTop="1" x14ac:dyDescent="0.35">
      <c r="A35" s="123"/>
      <c r="B35" s="124"/>
      <c r="C35" s="125" t="s">
        <v>91</v>
      </c>
      <c r="D35" s="126"/>
      <c r="E35" s="126"/>
      <c r="F35" s="127">
        <f>+F34/E34</f>
        <v>5.7830677507350887E-2</v>
      </c>
      <c r="G35" s="127">
        <f>+G34/E34</f>
        <v>0</v>
      </c>
      <c r="H35" s="127">
        <f>+H34/E34</f>
        <v>0</v>
      </c>
      <c r="I35" s="127">
        <f>+I34/E34</f>
        <v>0</v>
      </c>
      <c r="J35" s="127">
        <f>+J34/E34</f>
        <v>0</v>
      </c>
      <c r="K35" s="127">
        <f>+K34/E34</f>
        <v>0</v>
      </c>
      <c r="L35" s="127">
        <f>+L34/E34</f>
        <v>0</v>
      </c>
      <c r="M35" s="127">
        <f>+M34/E34</f>
        <v>0</v>
      </c>
      <c r="N35" s="127">
        <f>+N34/E34</f>
        <v>0</v>
      </c>
      <c r="O35" s="127">
        <f>+O34/E34</f>
        <v>0</v>
      </c>
      <c r="P35" s="127">
        <f>+P34/E34</f>
        <v>0</v>
      </c>
      <c r="Q35" s="127">
        <f>+Q34/E34</f>
        <v>0</v>
      </c>
      <c r="R35" s="127">
        <f>+R34/E34</f>
        <v>5.7830677507350887E-2</v>
      </c>
      <c r="S35" s="176">
        <f>+S34/E34</f>
        <v>0.94216932249264895</v>
      </c>
      <c r="T35" s="177"/>
      <c r="U35" s="136"/>
    </row>
    <row r="36" spans="1:22" x14ac:dyDescent="0.35">
      <c r="C36" s="130"/>
      <c r="D36" s="131" t="s">
        <v>7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67"/>
      <c r="R36" s="134">
        <f>+R34</f>
        <v>283060.81</v>
      </c>
      <c r="S36" s="134">
        <f>+S34</f>
        <v>4611587.1899999995</v>
      </c>
      <c r="T36" s="136"/>
      <c r="U36" s="179"/>
    </row>
    <row r="37" spans="1:22" ht="26.25" customHeight="1" x14ac:dyDescent="0.35">
      <c r="C37" s="136"/>
      <c r="D37" s="161" t="s">
        <v>9</v>
      </c>
      <c r="E37" s="161"/>
      <c r="F37" s="161"/>
      <c r="G37" s="161"/>
      <c r="H37" s="168"/>
      <c r="I37" s="168"/>
      <c r="J37" s="168"/>
      <c r="K37" s="169"/>
      <c r="L37" s="169"/>
      <c r="M37" s="169"/>
      <c r="N37" s="169"/>
      <c r="O37" s="169"/>
      <c r="P37" s="169"/>
      <c r="Q37" s="170"/>
      <c r="R37" s="159">
        <f>+R36/E34</f>
        <v>5.7830677507350887E-2</v>
      </c>
      <c r="S37" s="162">
        <f>+S36/E34</f>
        <v>0.94216932249264895</v>
      </c>
      <c r="T37" s="155"/>
    </row>
    <row r="38" spans="1:22" x14ac:dyDescent="0.35">
      <c r="C38" s="143"/>
      <c r="D38" s="143"/>
      <c r="E38" s="136"/>
      <c r="F38" s="136"/>
      <c r="G38" s="136"/>
      <c r="H38" s="171" t="s">
        <v>13</v>
      </c>
      <c r="I38" s="171"/>
      <c r="J38" s="171"/>
      <c r="K38" s="172"/>
      <c r="L38" s="172"/>
      <c r="M38" s="172"/>
      <c r="N38" s="172"/>
      <c r="O38" s="172"/>
      <c r="P38" s="172"/>
      <c r="Q38" s="173"/>
      <c r="R38" s="162">
        <f>(1/12)</f>
        <v>8.3333333333333329E-2</v>
      </c>
      <c r="S38" s="162">
        <f>+(11/12)</f>
        <v>0.91666666666666663</v>
      </c>
      <c r="U38" s="149"/>
    </row>
    <row r="39" spans="1:22" hidden="1" x14ac:dyDescent="0.35">
      <c r="E39" s="136"/>
      <c r="F39" s="136"/>
      <c r="G39" s="136"/>
      <c r="H39" s="172" t="s">
        <v>8</v>
      </c>
      <c r="I39" s="172"/>
      <c r="J39" s="172"/>
      <c r="K39" s="172"/>
      <c r="L39" s="172"/>
      <c r="M39" s="172"/>
      <c r="N39" s="172"/>
      <c r="O39" s="172"/>
      <c r="P39" s="172"/>
      <c r="Q39" s="173"/>
      <c r="R39" s="163">
        <f>+R37-R38</f>
        <v>-2.5502655825982441E-2</v>
      </c>
      <c r="S39" s="155"/>
    </row>
    <row r="40" spans="1:22" x14ac:dyDescent="0.35">
      <c r="C40" s="130"/>
      <c r="D40" s="130"/>
      <c r="E40" s="136">
        <f>+E15-E34</f>
        <v>0</v>
      </c>
      <c r="F40" s="136"/>
      <c r="G40" s="136"/>
      <c r="H40" s="174" t="s">
        <v>10</v>
      </c>
      <c r="I40" s="174"/>
      <c r="J40" s="174"/>
      <c r="K40" s="172"/>
      <c r="L40" s="172"/>
      <c r="M40" s="172"/>
      <c r="N40" s="172"/>
      <c r="O40" s="172"/>
      <c r="P40" s="172"/>
      <c r="Q40" s="173"/>
      <c r="R40" s="164">
        <f>+IF(+R39&gt;0,+R39,0)</f>
        <v>0</v>
      </c>
      <c r="T40" s="136" t="s">
        <v>6</v>
      </c>
      <c r="V40" s="149"/>
    </row>
    <row r="41" spans="1:22" x14ac:dyDescent="0.35">
      <c r="D41" s="149"/>
      <c r="E41" s="136"/>
      <c r="F41" s="136"/>
      <c r="G41" s="136"/>
      <c r="H41" s="174" t="s">
        <v>11</v>
      </c>
      <c r="I41" s="174"/>
      <c r="J41" s="174"/>
      <c r="K41" s="172"/>
      <c r="L41" s="172"/>
      <c r="M41" s="172"/>
      <c r="N41" s="172"/>
      <c r="O41" s="172"/>
      <c r="P41" s="172"/>
      <c r="Q41" s="173"/>
      <c r="R41" s="165">
        <f>+IF(+R39&gt;0,0,-R39)</f>
        <v>2.5502655825982441E-2</v>
      </c>
      <c r="T41" s="136" t="s">
        <v>6</v>
      </c>
    </row>
    <row r="42" spans="1:22" x14ac:dyDescent="0.35">
      <c r="D42" s="149"/>
      <c r="H42" s="174" t="s">
        <v>12</v>
      </c>
      <c r="I42" s="174"/>
      <c r="J42" s="174"/>
      <c r="K42" s="173"/>
      <c r="L42" s="173"/>
      <c r="M42" s="173"/>
      <c r="N42" s="173"/>
      <c r="O42" s="173"/>
      <c r="P42" s="173"/>
      <c r="Q42" s="173"/>
      <c r="R42" s="166">
        <f>+R41*E34</f>
        <v>124826.5233333333</v>
      </c>
    </row>
    <row r="43" spans="1:22" x14ac:dyDescent="0.35">
      <c r="D43" s="149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22" x14ac:dyDescent="0.35">
      <c r="D44" s="149"/>
    </row>
    <row r="45" spans="1:22" x14ac:dyDescent="0.35">
      <c r="D45" s="149"/>
    </row>
    <row r="46" spans="1:22" x14ac:dyDescent="0.35">
      <c r="D46" s="149"/>
    </row>
    <row r="47" spans="1:22" x14ac:dyDescent="0.35">
      <c r="D47" s="149"/>
    </row>
    <row r="48" spans="1:22" x14ac:dyDescent="0.35">
      <c r="D48" s="149"/>
    </row>
    <row r="49" spans="3:4" x14ac:dyDescent="0.35">
      <c r="D49" s="149"/>
    </row>
    <row r="50" spans="3:4" x14ac:dyDescent="0.35">
      <c r="D50" s="149"/>
    </row>
    <row r="51" spans="3:4" x14ac:dyDescent="0.35">
      <c r="C51" s="130"/>
      <c r="D51" s="180"/>
    </row>
    <row r="52" spans="3:4" x14ac:dyDescent="0.35">
      <c r="D52" s="149"/>
    </row>
  </sheetData>
  <mergeCells count="10">
    <mergeCell ref="A16:T16"/>
    <mergeCell ref="A1:S1"/>
    <mergeCell ref="H40:J40"/>
    <mergeCell ref="H41:J41"/>
    <mergeCell ref="H42:J42"/>
    <mergeCell ref="A17:T17"/>
    <mergeCell ref="D36:Q36"/>
    <mergeCell ref="D37:J37"/>
    <mergeCell ref="C38:D38"/>
    <mergeCell ref="H38:J38"/>
  </mergeCells>
  <printOptions horizontalCentered="1"/>
  <pageMargins left="0.15748031496062992" right="0.19685039370078741" top="0.51181102362204722" bottom="0.35433070866141736" header="0.15748031496062992" footer="0.15748031496062992"/>
  <pageSetup paperSize="7" scale="80" fitToHeight="2" orientation="landscape" r:id="rId1"/>
  <headerFooter alignWithMargins="0"/>
  <rowBreaks count="1" manualBreakCount="1">
    <brk id="15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S144"/>
  <sheetViews>
    <sheetView view="pageBreakPreview" zoomScaleNormal="100" zoomScaleSheetLayoutView="100" workbookViewId="0">
      <selection activeCell="H10" sqref="H10"/>
    </sheetView>
  </sheetViews>
  <sheetFormatPr baseColWidth="10" defaultColWidth="7.26953125" defaultRowHeight="12.5" x14ac:dyDescent="0.25"/>
  <cols>
    <col min="1" max="1" width="4.1796875" customWidth="1"/>
    <col min="2" max="2" width="19.54296875" bestFit="1" customWidth="1"/>
    <col min="3" max="3" width="30.81640625" bestFit="1" customWidth="1"/>
    <col min="4" max="4" width="16.1796875" customWidth="1"/>
    <col min="5" max="5" width="18.7265625" bestFit="1" customWidth="1"/>
    <col min="6" max="6" width="20.1796875" bestFit="1" customWidth="1"/>
    <col min="7" max="7" width="14.54296875" customWidth="1"/>
    <col min="8" max="8" width="16.453125" customWidth="1"/>
    <col min="9" max="9" width="21.54296875" customWidth="1"/>
    <col min="10" max="10" width="18.7265625" bestFit="1" customWidth="1"/>
    <col min="11" max="11" width="19.1796875" customWidth="1"/>
    <col min="12" max="12" width="15.54296875" customWidth="1"/>
    <col min="13" max="13" width="15" bestFit="1" customWidth="1"/>
    <col min="14" max="14" width="19.54296875" bestFit="1" customWidth="1"/>
    <col min="15" max="16" width="9.1796875" bestFit="1" customWidth="1"/>
    <col min="17" max="17" width="13" bestFit="1" customWidth="1"/>
    <col min="20" max="20" width="21.26953125" bestFit="1" customWidth="1"/>
    <col min="21" max="21" width="12" bestFit="1" customWidth="1"/>
    <col min="22" max="22" width="12.7265625" bestFit="1" customWidth="1"/>
    <col min="23" max="23" width="15.453125" customWidth="1"/>
  </cols>
  <sheetData>
    <row r="1" spans="1:45" ht="20" x14ac:dyDescent="0.4">
      <c r="B1" s="60" t="s">
        <v>94</v>
      </c>
      <c r="C1" s="60"/>
      <c r="D1" s="60"/>
      <c r="E1" s="60"/>
      <c r="F1" s="60"/>
      <c r="G1" s="60"/>
      <c r="H1" s="60"/>
      <c r="I1" s="60"/>
      <c r="J1" s="60"/>
      <c r="K1" s="60"/>
      <c r="L1" s="60"/>
      <c r="N1" s="2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 ht="18" x14ac:dyDescent="0.4">
      <c r="B2" s="65" t="s">
        <v>32</v>
      </c>
      <c r="C2" s="65"/>
      <c r="D2" s="65"/>
      <c r="E2" s="65"/>
      <c r="F2" s="65"/>
      <c r="G2" s="65"/>
      <c r="H2" s="65"/>
      <c r="I2" s="65"/>
      <c r="J2" s="65"/>
      <c r="K2" s="65"/>
      <c r="L2" s="65"/>
      <c r="N2" s="2"/>
      <c r="O2" s="2"/>
      <c r="P2" s="2"/>
      <c r="Q2" s="2"/>
      <c r="R2" s="2"/>
      <c r="S2" s="2"/>
      <c r="T2" s="2"/>
      <c r="U2" s="2"/>
    </row>
    <row r="3" spans="1:45" ht="18" customHeight="1" x14ac:dyDescent="0.4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45" ht="15" thickBot="1" x14ac:dyDescent="0.4">
      <c r="B4" s="5"/>
      <c r="E4" s="1"/>
      <c r="F4" s="6"/>
      <c r="K4" s="1"/>
    </row>
    <row r="5" spans="1:45" ht="15" thickBot="1" x14ac:dyDescent="0.4">
      <c r="B5" s="31" t="s">
        <v>61</v>
      </c>
      <c r="C5" s="61">
        <v>2019</v>
      </c>
      <c r="D5" s="62"/>
      <c r="E5" s="62"/>
      <c r="F5" s="63"/>
      <c r="K5" s="1"/>
    </row>
    <row r="6" spans="1:45" ht="29.5" thickTop="1" x14ac:dyDescent="0.35">
      <c r="B6" s="7" t="s">
        <v>62</v>
      </c>
      <c r="C6" s="32" t="s">
        <v>63</v>
      </c>
      <c r="D6" s="32" t="s">
        <v>64</v>
      </c>
      <c r="E6" s="32" t="s">
        <v>65</v>
      </c>
      <c r="F6" s="53" t="s">
        <v>66</v>
      </c>
      <c r="K6" s="1"/>
    </row>
    <row r="7" spans="1:45" ht="14.5" x14ac:dyDescent="0.35">
      <c r="B7" s="8" t="s">
        <v>5</v>
      </c>
      <c r="C7" s="12">
        <v>4859288</v>
      </c>
      <c r="D7" s="12">
        <v>305094</v>
      </c>
      <c r="E7" s="12">
        <f>+D7</f>
        <v>305094</v>
      </c>
      <c r="F7" s="34">
        <f t="shared" ref="F7:F19" si="0">+E7/C7</f>
        <v>6.2785741450187768E-2</v>
      </c>
      <c r="K7" s="1"/>
    </row>
    <row r="8" spans="1:45" ht="14.5" x14ac:dyDescent="0.35">
      <c r="B8" s="8" t="s">
        <v>40</v>
      </c>
      <c r="C8" s="12">
        <v>4859288</v>
      </c>
      <c r="D8" s="12">
        <v>316080</v>
      </c>
      <c r="E8" s="12">
        <f t="shared" ref="E8:E17" si="1">+E7+D8</f>
        <v>621174</v>
      </c>
      <c r="F8" s="34">
        <f t="shared" si="0"/>
        <v>0.12783230794305667</v>
      </c>
      <c r="K8" s="1"/>
    </row>
    <row r="9" spans="1:45" ht="14.5" x14ac:dyDescent="0.35">
      <c r="B9" s="8" t="s">
        <v>17</v>
      </c>
      <c r="C9" s="12">
        <v>4918788</v>
      </c>
      <c r="D9" s="12">
        <v>464432</v>
      </c>
      <c r="E9" s="12">
        <f t="shared" si="1"/>
        <v>1085606</v>
      </c>
      <c r="F9" s="34">
        <f t="shared" si="0"/>
        <v>0.22070599505406616</v>
      </c>
      <c r="K9" s="1"/>
    </row>
    <row r="10" spans="1:45" ht="14.5" x14ac:dyDescent="0.35">
      <c r="B10" s="8" t="s">
        <v>18</v>
      </c>
      <c r="C10" s="12">
        <f t="shared" ref="C10:C18" si="2">+C9</f>
        <v>4918788</v>
      </c>
      <c r="D10" s="12">
        <v>367688</v>
      </c>
      <c r="E10" s="12">
        <f t="shared" si="1"/>
        <v>1453294</v>
      </c>
      <c r="F10" s="34">
        <f t="shared" si="0"/>
        <v>0.29545774284234244</v>
      </c>
      <c r="K10" s="1"/>
    </row>
    <row r="11" spans="1:45" ht="14.5" x14ac:dyDescent="0.35">
      <c r="B11" s="8" t="s">
        <v>23</v>
      </c>
      <c r="C11" s="12">
        <f t="shared" si="2"/>
        <v>4918788</v>
      </c>
      <c r="D11" s="12" t="e">
        <f>+#REF!</f>
        <v>#REF!</v>
      </c>
      <c r="E11" s="12" t="e">
        <f t="shared" si="1"/>
        <v>#REF!</v>
      </c>
      <c r="F11" s="34" t="e">
        <f t="shared" si="0"/>
        <v>#REF!</v>
      </c>
      <c r="K11" s="1"/>
    </row>
    <row r="12" spans="1:45" ht="14.5" x14ac:dyDescent="0.35">
      <c r="B12" s="8" t="s">
        <v>25</v>
      </c>
      <c r="C12" s="12" t="e">
        <f>+#REF!</f>
        <v>#REF!</v>
      </c>
      <c r="D12" s="12" t="e">
        <f>+#REF!</f>
        <v>#REF!</v>
      </c>
      <c r="E12" s="12" t="e">
        <f t="shared" si="1"/>
        <v>#REF!</v>
      </c>
      <c r="F12" s="34" t="e">
        <f t="shared" si="0"/>
        <v>#REF!</v>
      </c>
      <c r="K12" s="1"/>
    </row>
    <row r="13" spans="1:45" ht="14.5" x14ac:dyDescent="0.35">
      <c r="B13" s="8" t="s">
        <v>26</v>
      </c>
      <c r="C13" s="12" t="e">
        <f t="shared" si="2"/>
        <v>#REF!</v>
      </c>
      <c r="D13" s="12" t="e">
        <f>+#REF!</f>
        <v>#REF!</v>
      </c>
      <c r="E13" s="12" t="e">
        <f t="shared" si="1"/>
        <v>#REF!</v>
      </c>
      <c r="F13" s="34" t="e">
        <f t="shared" si="0"/>
        <v>#REF!</v>
      </c>
      <c r="K13" s="1"/>
    </row>
    <row r="14" spans="1:45" ht="14.5" x14ac:dyDescent="0.35">
      <c r="B14" s="8" t="s">
        <v>27</v>
      </c>
      <c r="C14" s="12" t="e">
        <f t="shared" si="2"/>
        <v>#REF!</v>
      </c>
      <c r="D14" s="12" t="e">
        <f>+#REF!</f>
        <v>#REF!</v>
      </c>
      <c r="E14" s="12" t="e">
        <f t="shared" si="1"/>
        <v>#REF!</v>
      </c>
      <c r="F14" s="34" t="e">
        <f t="shared" si="0"/>
        <v>#REF!</v>
      </c>
      <c r="K14" s="1"/>
    </row>
    <row r="15" spans="1:45" ht="14.5" x14ac:dyDescent="0.35">
      <c r="B15" s="8" t="s">
        <v>49</v>
      </c>
      <c r="C15" s="12" t="e">
        <f t="shared" si="2"/>
        <v>#REF!</v>
      </c>
      <c r="D15" s="12"/>
      <c r="E15" s="12" t="e">
        <f t="shared" si="1"/>
        <v>#REF!</v>
      </c>
      <c r="F15" s="35" t="e">
        <f t="shared" si="0"/>
        <v>#REF!</v>
      </c>
      <c r="K15" s="1"/>
    </row>
    <row r="16" spans="1:45" ht="14.5" x14ac:dyDescent="0.35">
      <c r="B16" s="8" t="s">
        <v>57</v>
      </c>
      <c r="C16" s="12" t="e">
        <f t="shared" si="2"/>
        <v>#REF!</v>
      </c>
      <c r="D16" s="12"/>
      <c r="E16" s="12" t="e">
        <f t="shared" si="1"/>
        <v>#REF!</v>
      </c>
      <c r="F16" s="34" t="e">
        <f t="shared" si="0"/>
        <v>#REF!</v>
      </c>
      <c r="K16" s="1"/>
    </row>
    <row r="17" spans="2:12" ht="14.5" x14ac:dyDescent="0.35">
      <c r="B17" s="8" t="s">
        <v>58</v>
      </c>
      <c r="C17" s="12" t="e">
        <f t="shared" si="2"/>
        <v>#REF!</v>
      </c>
      <c r="D17" s="12"/>
      <c r="E17" s="12" t="e">
        <f t="shared" si="1"/>
        <v>#REF!</v>
      </c>
      <c r="F17" s="34" t="e">
        <f t="shared" si="0"/>
        <v>#REF!</v>
      </c>
      <c r="K17" s="1"/>
    </row>
    <row r="18" spans="2:12" ht="14.5" x14ac:dyDescent="0.35">
      <c r="B18" s="8" t="s">
        <v>31</v>
      </c>
      <c r="C18" s="12" t="e">
        <f t="shared" si="2"/>
        <v>#REF!</v>
      </c>
      <c r="D18" s="12"/>
      <c r="E18" s="12" t="e">
        <f>+E17+D18</f>
        <v>#REF!</v>
      </c>
      <c r="F18" s="34" t="e">
        <f t="shared" si="0"/>
        <v>#REF!</v>
      </c>
      <c r="K18" s="1"/>
    </row>
    <row r="19" spans="2:12" ht="14.5" x14ac:dyDescent="0.35">
      <c r="B19" s="15" t="s">
        <v>67</v>
      </c>
      <c r="C19" s="19" t="e">
        <f t="shared" ref="C19" si="3">+C18</f>
        <v>#REF!</v>
      </c>
      <c r="D19" s="20" t="e">
        <f>SUM(D7:D18)</f>
        <v>#REF!</v>
      </c>
      <c r="E19" s="20" t="e">
        <f>+D19</f>
        <v>#REF!</v>
      </c>
      <c r="F19" s="36" t="e">
        <f t="shared" si="0"/>
        <v>#REF!</v>
      </c>
      <c r="K19" s="1"/>
    </row>
    <row r="20" spans="2:12" ht="15" thickBot="1" x14ac:dyDescent="0.4">
      <c r="B20" s="54" t="s">
        <v>68</v>
      </c>
      <c r="C20" s="55" t="s">
        <v>68</v>
      </c>
      <c r="D20" s="56"/>
      <c r="E20" s="57" t="e">
        <f>+C19-E19</f>
        <v>#REF!</v>
      </c>
      <c r="F20" s="58"/>
      <c r="K20" s="1"/>
    </row>
    <row r="21" spans="2:12" ht="14.5" x14ac:dyDescent="0.35">
      <c r="B21" s="5"/>
      <c r="E21" s="1"/>
      <c r="F21" s="6"/>
      <c r="K21" s="1"/>
    </row>
    <row r="22" spans="2:12" ht="14.5" x14ac:dyDescent="0.35">
      <c r="B22" s="5"/>
      <c r="E22" s="1"/>
      <c r="F22" s="6"/>
      <c r="K22" s="1"/>
    </row>
    <row r="23" spans="2:12" ht="14.5" x14ac:dyDescent="0.35">
      <c r="B23" s="5"/>
      <c r="E23" s="1"/>
      <c r="F23" s="6"/>
      <c r="K23" s="1"/>
    </row>
    <row r="24" spans="2:12" ht="14.5" x14ac:dyDescent="0.35">
      <c r="B24" s="5"/>
      <c r="E24" s="1"/>
      <c r="F24" s="6"/>
      <c r="K24" s="1"/>
    </row>
    <row r="25" spans="2:12" ht="15" thickBot="1" x14ac:dyDescent="0.4">
      <c r="B25" s="5"/>
      <c r="E25" s="1"/>
      <c r="F25" s="6"/>
      <c r="K25" s="1"/>
    </row>
    <row r="26" spans="2:12" ht="15" thickBot="1" x14ac:dyDescent="0.4">
      <c r="B26" s="31" t="s">
        <v>61</v>
      </c>
      <c r="C26" s="61">
        <v>2018</v>
      </c>
      <c r="D26" s="62"/>
      <c r="E26" s="62"/>
      <c r="F26" s="63"/>
      <c r="H26" s="31" t="s">
        <v>61</v>
      </c>
      <c r="I26" s="61">
        <v>2017</v>
      </c>
      <c r="J26" s="62"/>
      <c r="K26" s="62"/>
      <c r="L26" s="63"/>
    </row>
    <row r="27" spans="2:12" ht="29.5" thickTop="1" x14ac:dyDescent="0.35">
      <c r="B27" s="7" t="s">
        <v>62</v>
      </c>
      <c r="C27" s="32" t="s">
        <v>63</v>
      </c>
      <c r="D27" s="32" t="s">
        <v>64</v>
      </c>
      <c r="E27" s="32" t="s">
        <v>65</v>
      </c>
      <c r="F27" s="53" t="s">
        <v>66</v>
      </c>
      <c r="H27" s="7" t="s">
        <v>62</v>
      </c>
      <c r="I27" s="32" t="s">
        <v>63</v>
      </c>
      <c r="J27" s="32" t="s">
        <v>64</v>
      </c>
      <c r="K27" s="32" t="s">
        <v>65</v>
      </c>
      <c r="L27" s="53" t="s">
        <v>66</v>
      </c>
    </row>
    <row r="28" spans="2:12" ht="14.5" x14ac:dyDescent="0.35">
      <c r="B28" s="8" t="s">
        <v>5</v>
      </c>
      <c r="C28" s="12">
        <v>4674930</v>
      </c>
      <c r="D28" s="12">
        <v>309900.82299999997</v>
      </c>
      <c r="E28" s="12">
        <f>+D28</f>
        <v>309900.82299999997</v>
      </c>
      <c r="F28" s="34">
        <f t="shared" ref="F28:F40" si="4">+E28/C28</f>
        <v>6.6289938672878523E-2</v>
      </c>
      <c r="H28" s="8" t="s">
        <v>5</v>
      </c>
      <c r="I28" s="12">
        <v>4236903</v>
      </c>
      <c r="J28" s="12">
        <v>245837.796</v>
      </c>
      <c r="K28" s="12">
        <f>+J28</f>
        <v>245837.796</v>
      </c>
      <c r="L28" s="34">
        <f t="shared" ref="L28:L40" si="5">+K28/I28</f>
        <v>5.8022993681941741E-2</v>
      </c>
    </row>
    <row r="29" spans="2:12" ht="14.5" x14ac:dyDescent="0.35">
      <c r="B29" s="8" t="s">
        <v>40</v>
      </c>
      <c r="C29" s="12">
        <v>4674930</v>
      </c>
      <c r="D29" s="12">
        <v>341147.97000000003</v>
      </c>
      <c r="E29" s="12">
        <f t="shared" ref="E29:E38" si="6">+E28+D29</f>
        <v>651048.79300000006</v>
      </c>
      <c r="F29" s="34">
        <f t="shared" si="4"/>
        <v>0.1392638591379978</v>
      </c>
      <c r="H29" s="8" t="s">
        <v>40</v>
      </c>
      <c r="I29" s="12">
        <v>4236903</v>
      </c>
      <c r="J29" s="12">
        <v>360913.49900000001</v>
      </c>
      <c r="K29" s="12">
        <f t="shared" ref="K29:K39" si="7">+K28+J29</f>
        <v>606751.29500000004</v>
      </c>
      <c r="L29" s="34">
        <f t="shared" si="5"/>
        <v>0.14320632192901278</v>
      </c>
    </row>
    <row r="30" spans="2:12" ht="14.5" x14ac:dyDescent="0.35">
      <c r="B30" s="8" t="s">
        <v>17</v>
      </c>
      <c r="C30" s="12">
        <v>4674930</v>
      </c>
      <c r="D30" s="12">
        <v>476726.92200000002</v>
      </c>
      <c r="E30" s="12">
        <f t="shared" si="6"/>
        <v>1127775.7150000001</v>
      </c>
      <c r="F30" s="34">
        <f t="shared" si="4"/>
        <v>0.24123905919446925</v>
      </c>
      <c r="H30" s="8" t="s">
        <v>17</v>
      </c>
      <c r="I30" s="12">
        <v>4235221</v>
      </c>
      <c r="J30" s="12">
        <v>461117.70299999998</v>
      </c>
      <c r="K30" s="12">
        <f t="shared" si="7"/>
        <v>1067868.9980000001</v>
      </c>
      <c r="L30" s="34">
        <f t="shared" si="5"/>
        <v>0.2521400885573622</v>
      </c>
    </row>
    <row r="31" spans="2:12" ht="14.5" x14ac:dyDescent="0.35">
      <c r="B31" s="8" t="s">
        <v>18</v>
      </c>
      <c r="C31" s="12">
        <v>4674930</v>
      </c>
      <c r="D31" s="12">
        <v>287340.00899999996</v>
      </c>
      <c r="E31" s="12">
        <f t="shared" si="6"/>
        <v>1415115.7239999999</v>
      </c>
      <c r="F31" s="34">
        <f t="shared" si="4"/>
        <v>0.30270308304081556</v>
      </c>
      <c r="H31" s="8" t="s">
        <v>18</v>
      </c>
      <c r="I31" s="12">
        <v>4235221</v>
      </c>
      <c r="J31" s="12">
        <v>328946.78899999999</v>
      </c>
      <c r="K31" s="12">
        <f t="shared" si="7"/>
        <v>1396815.787</v>
      </c>
      <c r="L31" s="34">
        <f t="shared" si="5"/>
        <v>0.32980942127931456</v>
      </c>
    </row>
    <row r="32" spans="2:12" ht="14.5" x14ac:dyDescent="0.35">
      <c r="B32" s="8" t="s">
        <v>23</v>
      </c>
      <c r="C32" s="12">
        <v>4674930</v>
      </c>
      <c r="D32" s="12">
        <v>291190.32799999998</v>
      </c>
      <c r="E32" s="12">
        <f t="shared" si="6"/>
        <v>1706306.0519999999</v>
      </c>
      <c r="F32" s="34">
        <f t="shared" si="4"/>
        <v>0.36499071686634876</v>
      </c>
      <c r="H32" s="8" t="s">
        <v>23</v>
      </c>
      <c r="I32" s="12">
        <v>4235221</v>
      </c>
      <c r="J32" s="12">
        <v>349391.66200000001</v>
      </c>
      <c r="K32" s="12">
        <f t="shared" si="7"/>
        <v>1746207.449</v>
      </c>
      <c r="L32" s="34">
        <f t="shared" si="5"/>
        <v>0.41230609902057058</v>
      </c>
    </row>
    <row r="33" spans="2:12" ht="14.5" x14ac:dyDescent="0.35">
      <c r="B33" s="8" t="s">
        <v>25</v>
      </c>
      <c r="C33" s="12">
        <v>4674930</v>
      </c>
      <c r="D33" s="12">
        <v>466154.41299999994</v>
      </c>
      <c r="E33" s="12">
        <f t="shared" si="6"/>
        <v>2172460.4649999999</v>
      </c>
      <c r="F33" s="34">
        <f t="shared" si="4"/>
        <v>0.4647043838089554</v>
      </c>
      <c r="H33" s="8" t="s">
        <v>25</v>
      </c>
      <c r="I33" s="12">
        <v>4235221</v>
      </c>
      <c r="J33" s="12">
        <v>488022.33500000002</v>
      </c>
      <c r="K33" s="12">
        <f t="shared" si="7"/>
        <v>2234229.784</v>
      </c>
      <c r="L33" s="34">
        <f t="shared" si="5"/>
        <v>0.52753558409348655</v>
      </c>
    </row>
    <row r="34" spans="2:12" ht="14.5" x14ac:dyDescent="0.35">
      <c r="B34" s="8" t="s">
        <v>26</v>
      </c>
      <c r="C34" s="12">
        <v>4674930</v>
      </c>
      <c r="D34" s="12">
        <v>368925.984</v>
      </c>
      <c r="E34" s="12">
        <f t="shared" si="6"/>
        <v>2541386.449</v>
      </c>
      <c r="F34" s="34">
        <f t="shared" si="4"/>
        <v>0.54362021442032282</v>
      </c>
      <c r="H34" s="8" t="s">
        <v>26</v>
      </c>
      <c r="I34" s="12">
        <v>4235221</v>
      </c>
      <c r="J34" s="12">
        <v>353305.49199999997</v>
      </c>
      <c r="K34" s="12">
        <f t="shared" si="7"/>
        <v>2587535.2760000001</v>
      </c>
      <c r="L34" s="34">
        <f t="shared" si="5"/>
        <v>0.61095637653855606</v>
      </c>
    </row>
    <row r="35" spans="2:12" ht="14.5" x14ac:dyDescent="0.35">
      <c r="B35" s="8" t="s">
        <v>27</v>
      </c>
      <c r="C35" s="12">
        <v>4674930</v>
      </c>
      <c r="D35" s="12">
        <v>309316.67</v>
      </c>
      <c r="E35" s="12">
        <f t="shared" si="6"/>
        <v>2850703.1189999999</v>
      </c>
      <c r="F35" s="34">
        <f t="shared" si="4"/>
        <v>0.60978519870885761</v>
      </c>
      <c r="H35" s="8" t="s">
        <v>27</v>
      </c>
      <c r="I35" s="12">
        <v>4509066</v>
      </c>
      <c r="J35" s="12">
        <v>317729.614</v>
      </c>
      <c r="K35" s="12">
        <f t="shared" si="7"/>
        <v>2905264.89</v>
      </c>
      <c r="L35" s="34">
        <f t="shared" si="5"/>
        <v>0.6443163373523475</v>
      </c>
    </row>
    <row r="36" spans="2:12" ht="14.5" x14ac:dyDescent="0.35">
      <c r="B36" s="8" t="s">
        <v>49</v>
      </c>
      <c r="C36" s="12">
        <v>4674930</v>
      </c>
      <c r="D36" s="12">
        <v>453507.299</v>
      </c>
      <c r="E36" s="12">
        <f t="shared" si="6"/>
        <v>3304210.4180000001</v>
      </c>
      <c r="F36" s="35">
        <f t="shared" si="4"/>
        <v>0.70679356011747774</v>
      </c>
      <c r="H36" s="8" t="s">
        <v>49</v>
      </c>
      <c r="I36" s="12">
        <v>4509066</v>
      </c>
      <c r="J36" s="12">
        <v>442857.50099999999</v>
      </c>
      <c r="K36" s="12">
        <f t="shared" si="7"/>
        <v>3348122.3910000003</v>
      </c>
      <c r="L36" s="35">
        <f t="shared" si="5"/>
        <v>0.74253124505163604</v>
      </c>
    </row>
    <row r="37" spans="2:12" ht="14.5" x14ac:dyDescent="0.35">
      <c r="B37" s="8" t="s">
        <v>57</v>
      </c>
      <c r="C37" s="12">
        <v>4674930</v>
      </c>
      <c r="D37" s="12">
        <v>315097.46799999999</v>
      </c>
      <c r="E37" s="12">
        <f t="shared" si="6"/>
        <v>3619307.8859999999</v>
      </c>
      <c r="F37" s="34">
        <f t="shared" si="4"/>
        <v>0.77419509725279312</v>
      </c>
      <c r="H37" s="8" t="s">
        <v>57</v>
      </c>
      <c r="I37" s="12">
        <v>4509066</v>
      </c>
      <c r="J37" s="12">
        <v>312794.092</v>
      </c>
      <c r="K37" s="12">
        <f t="shared" si="7"/>
        <v>3660916.4830000005</v>
      </c>
      <c r="L37" s="34">
        <f t="shared" si="5"/>
        <v>0.8119012857651674</v>
      </c>
    </row>
    <row r="38" spans="2:12" ht="14.5" x14ac:dyDescent="0.35">
      <c r="B38" s="8" t="s">
        <v>58</v>
      </c>
      <c r="C38" s="12">
        <v>4674930</v>
      </c>
      <c r="D38" s="12">
        <v>376348.70900000003</v>
      </c>
      <c r="E38" s="12">
        <f t="shared" si="6"/>
        <v>3995656.5949999997</v>
      </c>
      <c r="F38" s="34">
        <f t="shared" si="4"/>
        <v>0.85469870030139483</v>
      </c>
      <c r="H38" s="8" t="s">
        <v>58</v>
      </c>
      <c r="I38" s="12">
        <v>4509066</v>
      </c>
      <c r="J38" s="12">
        <v>343745.88699999999</v>
      </c>
      <c r="K38" s="12">
        <f t="shared" si="7"/>
        <v>4004662.3700000006</v>
      </c>
      <c r="L38" s="34">
        <f t="shared" si="5"/>
        <v>0.88813567377368186</v>
      </c>
    </row>
    <row r="39" spans="2:12" ht="14.5" x14ac:dyDescent="0.35">
      <c r="B39" s="8" t="s">
        <v>31</v>
      </c>
      <c r="C39" s="12">
        <v>4674930</v>
      </c>
      <c r="D39" s="12">
        <v>648375</v>
      </c>
      <c r="E39" s="12">
        <f>+E38+D39</f>
        <v>4644031.5949999997</v>
      </c>
      <c r="F39" s="34">
        <f t="shared" si="4"/>
        <v>0.99339061654399097</v>
      </c>
      <c r="H39" s="8" t="s">
        <v>31</v>
      </c>
      <c r="I39" s="12">
        <v>4639823</v>
      </c>
      <c r="J39" s="12">
        <v>592710.60199999996</v>
      </c>
      <c r="K39" s="12">
        <f t="shared" si="7"/>
        <v>4597372.972000001</v>
      </c>
      <c r="L39" s="34">
        <f t="shared" si="5"/>
        <v>0.99085093806380131</v>
      </c>
    </row>
    <row r="40" spans="2:12" ht="14.5" x14ac:dyDescent="0.35">
      <c r="B40" s="15" t="s">
        <v>67</v>
      </c>
      <c r="C40" s="19">
        <f t="shared" ref="C40" si="8">+C39</f>
        <v>4674930</v>
      </c>
      <c r="D40" s="20">
        <f>SUM(D28:D39)</f>
        <v>4644031.5949999997</v>
      </c>
      <c r="E40" s="20">
        <f>+D40</f>
        <v>4644031.5949999997</v>
      </c>
      <c r="F40" s="36">
        <f t="shared" si="4"/>
        <v>0.99339061654399097</v>
      </c>
      <c r="H40" s="15" t="s">
        <v>67</v>
      </c>
      <c r="I40" s="19">
        <f>+I39</f>
        <v>4639823</v>
      </c>
      <c r="J40" s="20">
        <f>SUM(J28:J39)</f>
        <v>4597372.972000001</v>
      </c>
      <c r="K40" s="20">
        <f>+J40</f>
        <v>4597372.972000001</v>
      </c>
      <c r="L40" s="36">
        <f t="shared" si="5"/>
        <v>0.99085093806380131</v>
      </c>
    </row>
    <row r="41" spans="2:12" ht="15" thickBot="1" x14ac:dyDescent="0.4">
      <c r="B41" s="54" t="s">
        <v>68</v>
      </c>
      <c r="C41" s="55" t="s">
        <v>68</v>
      </c>
      <c r="D41" s="56"/>
      <c r="E41" s="57">
        <f>+C40-E40</f>
        <v>30898.405000000261</v>
      </c>
      <c r="F41" s="58"/>
      <c r="H41" s="59"/>
      <c r="I41" s="55" t="s">
        <v>68</v>
      </c>
      <c r="J41" s="56"/>
      <c r="K41" s="57">
        <f>+I40-K40</f>
        <v>42450.027999999002</v>
      </c>
      <c r="L41" s="58"/>
    </row>
    <row r="42" spans="2:12" ht="15" thickBot="1" x14ac:dyDescent="0.4">
      <c r="B42" s="5"/>
      <c r="E42" s="1"/>
      <c r="F42" s="6"/>
      <c r="K42" s="1"/>
    </row>
    <row r="43" spans="2:12" ht="15" thickBot="1" x14ac:dyDescent="0.4">
      <c r="B43" s="31" t="s">
        <v>61</v>
      </c>
      <c r="C43" s="61">
        <v>2016</v>
      </c>
      <c r="D43" s="62"/>
      <c r="E43" s="62"/>
      <c r="F43" s="63"/>
      <c r="H43" s="31" t="s">
        <v>61</v>
      </c>
      <c r="I43" s="61">
        <v>2015</v>
      </c>
      <c r="J43" s="62"/>
      <c r="K43" s="62"/>
      <c r="L43" s="63"/>
    </row>
    <row r="44" spans="2:12" ht="29.5" thickTop="1" x14ac:dyDescent="0.35">
      <c r="B44" s="7" t="s">
        <v>62</v>
      </c>
      <c r="C44" s="32" t="s">
        <v>63</v>
      </c>
      <c r="D44" s="32" t="s">
        <v>64</v>
      </c>
      <c r="E44" s="32" t="s">
        <v>65</v>
      </c>
      <c r="F44" s="32" t="s">
        <v>66</v>
      </c>
      <c r="H44" s="7" t="s">
        <v>62</v>
      </c>
      <c r="I44" s="32" t="s">
        <v>63</v>
      </c>
      <c r="J44" s="32" t="s">
        <v>64</v>
      </c>
      <c r="K44" s="32" t="s">
        <v>65</v>
      </c>
      <c r="L44" s="32" t="s">
        <v>66</v>
      </c>
    </row>
    <row r="45" spans="2:12" ht="14.5" x14ac:dyDescent="0.35">
      <c r="B45" s="8" t="s">
        <v>5</v>
      </c>
      <c r="C45" s="12">
        <v>4157304</v>
      </c>
      <c r="D45" s="12">
        <v>273716.21900000004</v>
      </c>
      <c r="E45" s="12">
        <f>+D45</f>
        <v>273716.21900000004</v>
      </c>
      <c r="F45" s="34">
        <f t="shared" ref="F45:F57" si="9">+E45/C45</f>
        <v>6.5839837308024632E-2</v>
      </c>
      <c r="H45" s="8" t="s">
        <v>5</v>
      </c>
      <c r="I45" s="9">
        <v>3633356</v>
      </c>
      <c r="J45" s="10">
        <v>190337.935</v>
      </c>
      <c r="K45" s="10">
        <f>+J45</f>
        <v>190337.935</v>
      </c>
      <c r="L45" s="34">
        <f t="shared" ref="L45:L57" si="10">+K45/I45</f>
        <v>5.2386260801308759E-2</v>
      </c>
    </row>
    <row r="46" spans="2:12" ht="14.5" x14ac:dyDescent="0.35">
      <c r="B46" s="8" t="s">
        <v>40</v>
      </c>
      <c r="C46" s="12">
        <v>4157304</v>
      </c>
      <c r="D46" s="12">
        <v>291615.76299999998</v>
      </c>
      <c r="E46" s="12">
        <f t="shared" ref="E46:E55" si="11">+E45+D46</f>
        <v>565331.98200000008</v>
      </c>
      <c r="F46" s="34">
        <f t="shared" si="9"/>
        <v>0.13598523995358533</v>
      </c>
      <c r="H46" s="8" t="s">
        <v>40</v>
      </c>
      <c r="I46" s="9">
        <v>3633356</v>
      </c>
      <c r="J46" s="10">
        <v>331453.78000000003</v>
      </c>
      <c r="K46" s="10">
        <f t="shared" ref="K46:K55" si="12">+K45+J46</f>
        <v>521791.71500000003</v>
      </c>
      <c r="L46" s="34">
        <f t="shared" si="10"/>
        <v>0.14361150269888226</v>
      </c>
    </row>
    <row r="47" spans="2:12" ht="14.5" x14ac:dyDescent="0.35">
      <c r="B47" s="8" t="s">
        <v>17</v>
      </c>
      <c r="C47" s="12">
        <v>4235221</v>
      </c>
      <c r="D47" s="12">
        <v>407326.99599999998</v>
      </c>
      <c r="E47" s="12">
        <f t="shared" si="11"/>
        <v>972658.97800000012</v>
      </c>
      <c r="F47" s="34">
        <f t="shared" si="9"/>
        <v>0.22965955684484946</v>
      </c>
      <c r="H47" s="8" t="s">
        <v>17</v>
      </c>
      <c r="I47" s="9">
        <v>3721107</v>
      </c>
      <c r="J47" s="10">
        <v>384384.09100000001</v>
      </c>
      <c r="K47" s="10">
        <f t="shared" si="12"/>
        <v>906175.8060000001</v>
      </c>
      <c r="L47" s="34">
        <f t="shared" si="10"/>
        <v>0.24352317898947815</v>
      </c>
    </row>
    <row r="48" spans="2:12" ht="14.5" x14ac:dyDescent="0.35">
      <c r="B48" s="8" t="s">
        <v>18</v>
      </c>
      <c r="C48" s="12">
        <v>4235221</v>
      </c>
      <c r="D48" s="12">
        <v>312720.48100000003</v>
      </c>
      <c r="E48" s="12">
        <f t="shared" si="11"/>
        <v>1285379.4590000003</v>
      </c>
      <c r="F48" s="34">
        <f t="shared" si="9"/>
        <v>0.30349761181293733</v>
      </c>
      <c r="H48" s="8" t="s">
        <v>18</v>
      </c>
      <c r="I48" s="9">
        <v>3721107</v>
      </c>
      <c r="J48" s="10">
        <v>285089</v>
      </c>
      <c r="K48" s="10">
        <f t="shared" si="12"/>
        <v>1191264.8060000001</v>
      </c>
      <c r="L48" s="34">
        <f t="shared" si="10"/>
        <v>0.320137208094258</v>
      </c>
    </row>
    <row r="49" spans="2:12" ht="14.5" x14ac:dyDescent="0.35">
      <c r="B49" s="8" t="s">
        <v>23</v>
      </c>
      <c r="C49" s="12">
        <v>4235221</v>
      </c>
      <c r="D49" s="12">
        <v>346444.636</v>
      </c>
      <c r="E49" s="12">
        <f t="shared" si="11"/>
        <v>1631824.0950000002</v>
      </c>
      <c r="F49" s="34">
        <f t="shared" si="9"/>
        <v>0.38529845195799706</v>
      </c>
      <c r="H49" s="8" t="s">
        <v>23</v>
      </c>
      <c r="I49" s="9">
        <v>3721107</v>
      </c>
      <c r="J49" s="10">
        <v>335931</v>
      </c>
      <c r="K49" s="10">
        <f t="shared" si="12"/>
        <v>1527195.8060000001</v>
      </c>
      <c r="L49" s="34">
        <f t="shared" si="10"/>
        <v>0.41041437561456851</v>
      </c>
    </row>
    <row r="50" spans="2:12" ht="14.5" x14ac:dyDescent="0.35">
      <c r="B50" s="8" t="s">
        <v>25</v>
      </c>
      <c r="C50" s="12">
        <v>4235221</v>
      </c>
      <c r="D50" s="12">
        <v>436060.99900000001</v>
      </c>
      <c r="E50" s="12">
        <f t="shared" si="11"/>
        <v>2067885.0940000003</v>
      </c>
      <c r="F50" s="34">
        <f t="shared" si="9"/>
        <v>0.48825907644488925</v>
      </c>
      <c r="H50" s="8" t="s">
        <v>25</v>
      </c>
      <c r="I50" s="9">
        <v>3721107</v>
      </c>
      <c r="J50" s="10">
        <v>384881</v>
      </c>
      <c r="K50" s="10">
        <f t="shared" si="12"/>
        <v>1912076.8060000001</v>
      </c>
      <c r="L50" s="34">
        <f t="shared" si="10"/>
        <v>0.51384623070500257</v>
      </c>
    </row>
    <row r="51" spans="2:12" ht="14.5" x14ac:dyDescent="0.35">
      <c r="B51" s="8" t="s">
        <v>26</v>
      </c>
      <c r="C51" s="12">
        <v>4235221</v>
      </c>
      <c r="D51" s="12">
        <v>297589.723</v>
      </c>
      <c r="E51" s="12">
        <f t="shared" si="11"/>
        <v>2365474.8170000003</v>
      </c>
      <c r="F51" s="34">
        <f t="shared" si="9"/>
        <v>0.55852452965264388</v>
      </c>
      <c r="H51" s="8" t="s">
        <v>26</v>
      </c>
      <c r="I51" s="9">
        <v>3339190</v>
      </c>
      <c r="J51" s="10">
        <v>318180</v>
      </c>
      <c r="K51" s="10">
        <f t="shared" si="12"/>
        <v>2230256.8059999999</v>
      </c>
      <c r="L51" s="34">
        <f t="shared" si="10"/>
        <v>0.66790353528849811</v>
      </c>
    </row>
    <row r="52" spans="2:12" ht="14.5" x14ac:dyDescent="0.35">
      <c r="B52" s="8" t="s">
        <v>27</v>
      </c>
      <c r="C52" s="12">
        <v>4273221</v>
      </c>
      <c r="D52" s="12">
        <v>311126.92099999997</v>
      </c>
      <c r="E52" s="12">
        <f t="shared" si="11"/>
        <v>2676601.7380000004</v>
      </c>
      <c r="F52" s="34">
        <f t="shared" si="9"/>
        <v>0.62636632601028597</v>
      </c>
      <c r="H52" s="8" t="s">
        <v>27</v>
      </c>
      <c r="I52" s="9">
        <v>4082870</v>
      </c>
      <c r="J52" s="12">
        <v>278327</v>
      </c>
      <c r="K52" s="12">
        <f t="shared" si="12"/>
        <v>2508583.8059999999</v>
      </c>
      <c r="L52" s="34">
        <f t="shared" si="10"/>
        <v>0.61441677202556044</v>
      </c>
    </row>
    <row r="53" spans="2:12" ht="14.5" x14ac:dyDescent="0.35">
      <c r="B53" s="8" t="s">
        <v>49</v>
      </c>
      <c r="C53" s="12">
        <v>4273221</v>
      </c>
      <c r="D53" s="12">
        <v>408340.96799999999</v>
      </c>
      <c r="E53" s="12">
        <f t="shared" si="11"/>
        <v>3084942.7060000002</v>
      </c>
      <c r="F53" s="35">
        <f t="shared" si="9"/>
        <v>0.72192444668787326</v>
      </c>
      <c r="H53" s="8" t="s">
        <v>49</v>
      </c>
      <c r="I53" s="9">
        <v>4082870</v>
      </c>
      <c r="J53" s="28">
        <v>471584</v>
      </c>
      <c r="K53" s="28">
        <f t="shared" si="12"/>
        <v>2980167.8059999999</v>
      </c>
      <c r="L53" s="35">
        <f t="shared" si="10"/>
        <v>0.72991983727133114</v>
      </c>
    </row>
    <row r="54" spans="2:12" ht="14.5" x14ac:dyDescent="0.35">
      <c r="B54" s="8" t="s">
        <v>57</v>
      </c>
      <c r="C54" s="12">
        <v>4273221</v>
      </c>
      <c r="D54" s="12">
        <v>294059.56900000002</v>
      </c>
      <c r="E54" s="12">
        <f t="shared" si="11"/>
        <v>3379002.2750000004</v>
      </c>
      <c r="F54" s="34">
        <f t="shared" si="9"/>
        <v>0.79073894727185901</v>
      </c>
      <c r="H54" s="8" t="s">
        <v>57</v>
      </c>
      <c r="I54" s="9">
        <v>4082870</v>
      </c>
      <c r="J54" s="12">
        <v>264785</v>
      </c>
      <c r="K54" s="12">
        <f t="shared" si="12"/>
        <v>3244952.8059999999</v>
      </c>
      <c r="L54" s="34">
        <f t="shared" si="10"/>
        <v>0.79477250218596229</v>
      </c>
    </row>
    <row r="55" spans="2:12" ht="14.5" x14ac:dyDescent="0.35">
      <c r="B55" s="8" t="s">
        <v>58</v>
      </c>
      <c r="C55" s="12">
        <v>4273221</v>
      </c>
      <c r="D55" s="12">
        <v>336225.38500000001</v>
      </c>
      <c r="E55" s="12">
        <f t="shared" si="11"/>
        <v>3715227.66</v>
      </c>
      <c r="F55" s="34">
        <f t="shared" si="9"/>
        <v>0.86942090287396789</v>
      </c>
      <c r="H55" s="8" t="s">
        <v>58</v>
      </c>
      <c r="I55" s="9">
        <v>4110701</v>
      </c>
      <c r="J55" s="12">
        <v>291494</v>
      </c>
      <c r="K55" s="12">
        <f t="shared" si="12"/>
        <v>3536446.8059999999</v>
      </c>
      <c r="L55" s="34">
        <f t="shared" si="10"/>
        <v>0.86030261164701594</v>
      </c>
    </row>
    <row r="56" spans="2:12" ht="14.5" x14ac:dyDescent="0.35">
      <c r="B56" s="8" t="s">
        <v>31</v>
      </c>
      <c r="C56" s="12">
        <v>4430948</v>
      </c>
      <c r="D56" s="12">
        <v>561393.55099999998</v>
      </c>
      <c r="E56" s="12">
        <f>+E55+D56</f>
        <v>4276621.2110000001</v>
      </c>
      <c r="F56" s="34">
        <f t="shared" si="9"/>
        <v>0.96517070635900037</v>
      </c>
      <c r="H56" s="8" t="s">
        <v>31</v>
      </c>
      <c r="I56" s="9">
        <v>4110701</v>
      </c>
      <c r="J56" s="10">
        <v>523052.02500000002</v>
      </c>
      <c r="K56" s="10">
        <f>+K55+J56</f>
        <v>4059498.8309999998</v>
      </c>
      <c r="L56" s="34">
        <f t="shared" si="10"/>
        <v>0.98754417579872622</v>
      </c>
    </row>
    <row r="57" spans="2:12" ht="14.5" x14ac:dyDescent="0.35">
      <c r="B57" s="15" t="s">
        <v>67</v>
      </c>
      <c r="C57" s="19">
        <v>4430948</v>
      </c>
      <c r="D57" s="20">
        <v>4276621.2110000001</v>
      </c>
      <c r="E57" s="20">
        <f>+D57</f>
        <v>4276621.2110000001</v>
      </c>
      <c r="F57" s="36">
        <f t="shared" si="9"/>
        <v>0.96517070635900037</v>
      </c>
      <c r="H57" s="15" t="s">
        <v>67</v>
      </c>
      <c r="I57" s="19">
        <f t="shared" ref="I57" si="13">+I56</f>
        <v>4110701</v>
      </c>
      <c r="J57" s="20">
        <f>SUM(J45:J56)</f>
        <v>4059498.8309999998</v>
      </c>
      <c r="K57" s="20">
        <f>+J57</f>
        <v>4059498.8309999998</v>
      </c>
      <c r="L57" s="21">
        <f t="shared" si="10"/>
        <v>0.98754417579872622</v>
      </c>
    </row>
    <row r="58" spans="2:12" ht="14.5" x14ac:dyDescent="0.35">
      <c r="B58" s="5"/>
      <c r="C58" s="22" t="s">
        <v>68</v>
      </c>
      <c r="D58" s="10"/>
      <c r="E58" s="3">
        <f>+C57-E57</f>
        <v>154326.78899999987</v>
      </c>
      <c r="F58" s="33"/>
      <c r="I58" s="22" t="s">
        <v>68</v>
      </c>
      <c r="J58" s="10"/>
      <c r="K58" s="3">
        <f>+I57-K57</f>
        <v>51202.169000000227</v>
      </c>
      <c r="L58" s="23"/>
    </row>
    <row r="59" spans="2:12" ht="15" thickBot="1" x14ac:dyDescent="0.4">
      <c r="B59" s="5"/>
      <c r="E59" s="1"/>
      <c r="F59" s="6"/>
      <c r="K59" s="1"/>
    </row>
    <row r="60" spans="2:12" ht="15" thickBot="1" x14ac:dyDescent="0.4">
      <c r="B60" s="31" t="s">
        <v>61</v>
      </c>
      <c r="C60" s="61">
        <v>2014</v>
      </c>
      <c r="D60" s="62"/>
      <c r="E60" s="62"/>
      <c r="F60" s="63"/>
      <c r="H60" s="31" t="s">
        <v>61</v>
      </c>
      <c r="I60" s="61">
        <v>2013</v>
      </c>
      <c r="J60" s="62"/>
      <c r="K60" s="62"/>
      <c r="L60" s="63"/>
    </row>
    <row r="61" spans="2:12" ht="29.5" thickTop="1" x14ac:dyDescent="0.35">
      <c r="B61" s="7" t="s">
        <v>62</v>
      </c>
      <c r="C61" s="32" t="s">
        <v>63</v>
      </c>
      <c r="D61" s="32" t="s">
        <v>64</v>
      </c>
      <c r="E61" s="32" t="s">
        <v>65</v>
      </c>
      <c r="F61" s="32" t="s">
        <v>66</v>
      </c>
      <c r="H61" s="7" t="s">
        <v>62</v>
      </c>
      <c r="I61" s="32" t="s">
        <v>63</v>
      </c>
      <c r="J61" s="32" t="s">
        <v>64</v>
      </c>
      <c r="K61" s="32" t="s">
        <v>65</v>
      </c>
      <c r="L61" s="32" t="s">
        <v>66</v>
      </c>
    </row>
    <row r="62" spans="2:12" ht="14.5" x14ac:dyDescent="0.35">
      <c r="B62" s="8" t="s">
        <v>5</v>
      </c>
      <c r="C62" s="9">
        <v>2896015</v>
      </c>
      <c r="D62" s="10">
        <v>242772</v>
      </c>
      <c r="E62" s="10">
        <v>242772</v>
      </c>
      <c r="F62" s="11">
        <v>8.3829676296566139E-2</v>
      </c>
      <c r="H62" s="8" t="s">
        <v>5</v>
      </c>
      <c r="I62" s="9">
        <v>2839391</v>
      </c>
      <c r="J62" s="10">
        <v>233674</v>
      </c>
      <c r="K62" s="10">
        <v>233674</v>
      </c>
      <c r="L62" s="11">
        <f t="shared" ref="L62:L74" si="14">+K62/I62</f>
        <v>8.2297225003530691E-2</v>
      </c>
    </row>
    <row r="63" spans="2:12" ht="14.5" x14ac:dyDescent="0.35">
      <c r="B63" s="8" t="s">
        <v>40</v>
      </c>
      <c r="C63" s="9">
        <v>3175600</v>
      </c>
      <c r="D63" s="10">
        <v>224124</v>
      </c>
      <c r="E63" s="10">
        <v>466896</v>
      </c>
      <c r="F63" s="11">
        <v>0.14702607381282276</v>
      </c>
      <c r="H63" s="8" t="s">
        <v>40</v>
      </c>
      <c r="I63" s="9">
        <v>2839391</v>
      </c>
      <c r="J63" s="10">
        <v>193969</v>
      </c>
      <c r="K63" s="10">
        <v>427643</v>
      </c>
      <c r="L63" s="11">
        <f t="shared" si="14"/>
        <v>0.15061081760138001</v>
      </c>
    </row>
    <row r="64" spans="2:12" ht="14.5" x14ac:dyDescent="0.35">
      <c r="B64" s="8" t="s">
        <v>17</v>
      </c>
      <c r="C64" s="9">
        <v>3175600</v>
      </c>
      <c r="D64" s="10">
        <v>334808</v>
      </c>
      <c r="E64" s="10">
        <v>801704</v>
      </c>
      <c r="F64" s="11">
        <v>0.2524574883486585</v>
      </c>
      <c r="H64" s="8" t="s">
        <v>17</v>
      </c>
      <c r="I64" s="9">
        <v>3093483</v>
      </c>
      <c r="J64" s="10">
        <v>327127</v>
      </c>
      <c r="K64" s="10">
        <v>754770</v>
      </c>
      <c r="L64" s="11">
        <f t="shared" si="14"/>
        <v>0.24398711743365004</v>
      </c>
    </row>
    <row r="65" spans="2:12" ht="14.5" x14ac:dyDescent="0.35">
      <c r="B65" s="8" t="s">
        <v>18</v>
      </c>
      <c r="C65" s="9">
        <v>3175600</v>
      </c>
      <c r="D65" s="10">
        <v>235728</v>
      </c>
      <c r="E65" s="10">
        <v>1037432</v>
      </c>
      <c r="F65" s="11">
        <v>0.32668849981105935</v>
      </c>
      <c r="H65" s="8" t="s">
        <v>18</v>
      </c>
      <c r="I65" s="9">
        <v>3093483</v>
      </c>
      <c r="J65" s="10">
        <v>219566</v>
      </c>
      <c r="K65" s="10">
        <v>974336</v>
      </c>
      <c r="L65" s="11">
        <f t="shared" si="14"/>
        <v>0.31496407124267373</v>
      </c>
    </row>
    <row r="66" spans="2:12" ht="14.5" x14ac:dyDescent="0.35">
      <c r="B66" s="8" t="s">
        <v>23</v>
      </c>
      <c r="C66" s="9">
        <v>3175600</v>
      </c>
      <c r="D66" s="10">
        <v>243299</v>
      </c>
      <c r="E66" s="10">
        <v>1280731</v>
      </c>
      <c r="F66" s="11">
        <v>0.40330362766091449</v>
      </c>
      <c r="H66" s="8" t="s">
        <v>23</v>
      </c>
      <c r="I66" s="9">
        <v>3202573</v>
      </c>
      <c r="J66" s="10">
        <v>244705</v>
      </c>
      <c r="K66" s="10">
        <v>1219041</v>
      </c>
      <c r="L66" s="11">
        <f t="shared" si="14"/>
        <v>0.38064425073214569</v>
      </c>
    </row>
    <row r="67" spans="2:12" ht="14.5" x14ac:dyDescent="0.35">
      <c r="B67" s="8" t="s">
        <v>25</v>
      </c>
      <c r="C67" s="9">
        <v>3175600</v>
      </c>
      <c r="D67" s="10">
        <v>359926</v>
      </c>
      <c r="E67" s="10">
        <v>1640657</v>
      </c>
      <c r="F67" s="11">
        <v>0.51664472855523369</v>
      </c>
      <c r="H67" s="8" t="s">
        <v>25</v>
      </c>
      <c r="I67" s="9">
        <v>3242859</v>
      </c>
      <c r="J67" s="10">
        <v>305734</v>
      </c>
      <c r="K67" s="10">
        <v>1524775</v>
      </c>
      <c r="L67" s="11">
        <f t="shared" si="14"/>
        <v>0.47019466464622728</v>
      </c>
    </row>
    <row r="68" spans="2:12" ht="14.5" x14ac:dyDescent="0.35">
      <c r="B68" s="8" t="s">
        <v>26</v>
      </c>
      <c r="C68" s="9">
        <v>3175600</v>
      </c>
      <c r="D68" s="10">
        <v>246461</v>
      </c>
      <c r="E68" s="10">
        <v>1887118</v>
      </c>
      <c r="F68" s="11">
        <v>0.5942555737498425</v>
      </c>
      <c r="H68" s="8" t="s">
        <v>26</v>
      </c>
      <c r="I68" s="9">
        <v>3242859</v>
      </c>
      <c r="J68" s="10">
        <v>230846</v>
      </c>
      <c r="K68" s="10">
        <v>1755621</v>
      </c>
      <c r="L68" s="11">
        <f t="shared" si="14"/>
        <v>0.54138061506837021</v>
      </c>
    </row>
    <row r="69" spans="2:12" ht="14.5" x14ac:dyDescent="0.35">
      <c r="B69" s="8" t="s">
        <v>27</v>
      </c>
      <c r="C69" s="14">
        <v>3175600</v>
      </c>
      <c r="D69" s="12">
        <v>221421</v>
      </c>
      <c r="E69" s="12">
        <v>2108539</v>
      </c>
      <c r="F69" s="13">
        <v>0.66398129487340973</v>
      </c>
      <c r="H69" s="8" t="s">
        <v>27</v>
      </c>
      <c r="I69" s="14">
        <v>3363855</v>
      </c>
      <c r="J69" s="12">
        <v>240126.103</v>
      </c>
      <c r="K69" s="12">
        <v>1995747.1030000001</v>
      </c>
      <c r="L69" s="13">
        <f t="shared" si="14"/>
        <v>0.59329165585318044</v>
      </c>
    </row>
    <row r="70" spans="2:12" ht="14.5" x14ac:dyDescent="0.35">
      <c r="B70" s="8" t="s">
        <v>49</v>
      </c>
      <c r="C70" s="14">
        <v>3546926</v>
      </c>
      <c r="D70" s="28">
        <v>349019.26800000004</v>
      </c>
      <c r="E70" s="28">
        <v>2457558.2680000002</v>
      </c>
      <c r="F70" s="29">
        <v>0.69286990143013982</v>
      </c>
      <c r="H70" s="8" t="s">
        <v>49</v>
      </c>
      <c r="I70" s="27">
        <v>3363855</v>
      </c>
      <c r="J70" s="28">
        <v>333021.788</v>
      </c>
      <c r="K70" s="28">
        <v>2328768.8910000003</v>
      </c>
      <c r="L70" s="29">
        <f t="shared" si="14"/>
        <v>0.69229169836393079</v>
      </c>
    </row>
    <row r="71" spans="2:12" ht="14.5" x14ac:dyDescent="0.35">
      <c r="B71" s="8" t="s">
        <v>57</v>
      </c>
      <c r="C71" s="9">
        <v>3546926</v>
      </c>
      <c r="D71" s="12">
        <v>296044</v>
      </c>
      <c r="E71" s="12">
        <v>2753602.2680000002</v>
      </c>
      <c r="F71" s="13">
        <v>0.77633485107949818</v>
      </c>
      <c r="H71" s="8" t="s">
        <v>57</v>
      </c>
      <c r="I71" s="14">
        <v>3363855</v>
      </c>
      <c r="J71" s="12">
        <v>231814.83900000001</v>
      </c>
      <c r="K71" s="12">
        <v>2560583.7300000004</v>
      </c>
      <c r="L71" s="13">
        <f t="shared" si="14"/>
        <v>0.76120514409806617</v>
      </c>
    </row>
    <row r="72" spans="2:12" ht="14.5" x14ac:dyDescent="0.35">
      <c r="B72" s="8" t="s">
        <v>58</v>
      </c>
      <c r="C72" s="14">
        <v>3570016</v>
      </c>
      <c r="D72" s="12">
        <v>271461.04799999995</v>
      </c>
      <c r="E72" s="12">
        <v>3025063.3160000001</v>
      </c>
      <c r="F72" s="13">
        <v>0.84735287348852217</v>
      </c>
      <c r="H72" s="8" t="s">
        <v>58</v>
      </c>
      <c r="I72" s="14">
        <v>3389758</v>
      </c>
      <c r="J72" s="12">
        <v>295575.973</v>
      </c>
      <c r="K72" s="12">
        <v>2856159.7030000007</v>
      </c>
      <c r="L72" s="13">
        <f t="shared" si="14"/>
        <v>0.84258513528104384</v>
      </c>
    </row>
    <row r="73" spans="2:12" ht="14.5" x14ac:dyDescent="0.35">
      <c r="B73" s="8" t="s">
        <v>31</v>
      </c>
      <c r="C73" s="9">
        <v>3570016</v>
      </c>
      <c r="D73" s="10">
        <v>531530.43599999999</v>
      </c>
      <c r="E73" s="10">
        <v>3556593.7520000003</v>
      </c>
      <c r="F73" s="11">
        <v>0.99624028351693672</v>
      </c>
      <c r="H73" s="8" t="s">
        <v>31</v>
      </c>
      <c r="I73" s="9">
        <v>3415592</v>
      </c>
      <c r="J73" s="10">
        <v>492072.94900000002</v>
      </c>
      <c r="K73" s="10">
        <v>3348232.6520000007</v>
      </c>
      <c r="L73" s="11">
        <f t="shared" si="14"/>
        <v>0.98027886585985702</v>
      </c>
    </row>
    <row r="74" spans="2:12" ht="14.5" x14ac:dyDescent="0.35">
      <c r="B74" s="15" t="s">
        <v>67</v>
      </c>
      <c r="C74" s="19">
        <v>3570016</v>
      </c>
      <c r="D74" s="20">
        <v>3556593.7520000003</v>
      </c>
      <c r="E74" s="20">
        <v>3556593.7520000003</v>
      </c>
      <c r="F74" s="21">
        <v>0.99624028351693672</v>
      </c>
      <c r="H74" s="15" t="s">
        <v>67</v>
      </c>
      <c r="I74" s="19">
        <f>+I73</f>
        <v>3415592</v>
      </c>
      <c r="J74" s="20">
        <f>SUM(J62:J73)</f>
        <v>3348232.6520000007</v>
      </c>
      <c r="K74" s="20">
        <f>+J74</f>
        <v>3348232.6520000007</v>
      </c>
      <c r="L74" s="21">
        <f t="shared" si="14"/>
        <v>0.98027886585985702</v>
      </c>
    </row>
    <row r="75" spans="2:12" ht="14.5" x14ac:dyDescent="0.35">
      <c r="B75" s="5"/>
      <c r="C75" s="22" t="s">
        <v>68</v>
      </c>
      <c r="D75" s="10"/>
      <c r="E75" s="3">
        <v>13422.247999999672</v>
      </c>
      <c r="F75" s="23"/>
      <c r="I75" s="22" t="s">
        <v>68</v>
      </c>
      <c r="J75" s="10"/>
      <c r="K75" s="3">
        <f>+I74-K74</f>
        <v>67359.3479999993</v>
      </c>
      <c r="L75" s="23"/>
    </row>
    <row r="76" spans="2:12" ht="14.5" x14ac:dyDescent="0.35">
      <c r="B76" s="5"/>
      <c r="E76" s="1"/>
      <c r="F76" s="6"/>
      <c r="K76" s="1"/>
    </row>
    <row r="77" spans="2:12" ht="15" thickBot="1" x14ac:dyDescent="0.4">
      <c r="B77" s="5"/>
      <c r="E77" s="1"/>
      <c r="F77" s="6"/>
      <c r="K77" s="1"/>
    </row>
    <row r="78" spans="2:12" ht="15" thickBot="1" x14ac:dyDescent="0.4">
      <c r="B78" s="31" t="s">
        <v>61</v>
      </c>
      <c r="C78" s="61">
        <v>2012</v>
      </c>
      <c r="D78" s="62"/>
      <c r="E78" s="62"/>
      <c r="F78" s="63"/>
      <c r="H78" s="31" t="s">
        <v>61</v>
      </c>
      <c r="I78" s="61">
        <v>2011</v>
      </c>
      <c r="J78" s="62"/>
      <c r="K78" s="62"/>
      <c r="L78" s="63"/>
    </row>
    <row r="79" spans="2:12" ht="29.5" thickTop="1" x14ac:dyDescent="0.35">
      <c r="B79" s="7" t="s">
        <v>62</v>
      </c>
      <c r="C79" s="32" t="s">
        <v>63</v>
      </c>
      <c r="D79" s="32" t="s">
        <v>64</v>
      </c>
      <c r="E79" s="32" t="s">
        <v>65</v>
      </c>
      <c r="F79" s="32" t="s">
        <v>66</v>
      </c>
      <c r="H79" s="7" t="s">
        <v>62</v>
      </c>
      <c r="I79" s="32" t="s">
        <v>63</v>
      </c>
      <c r="J79" s="32" t="s">
        <v>64</v>
      </c>
      <c r="K79" s="32" t="s">
        <v>65</v>
      </c>
      <c r="L79" s="32" t="s">
        <v>66</v>
      </c>
    </row>
    <row r="80" spans="2:12" ht="14.5" x14ac:dyDescent="0.35">
      <c r="B80" s="8" t="s">
        <v>5</v>
      </c>
      <c r="C80" s="9">
        <v>2688753</v>
      </c>
      <c r="D80" s="10">
        <v>210506</v>
      </c>
      <c r="E80" s="10">
        <f>+D80</f>
        <v>210506</v>
      </c>
      <c r="F80" s="11">
        <f t="shared" ref="F80:F92" si="15">+E80/C80</f>
        <v>7.8291311994816926E-2</v>
      </c>
      <c r="H80" s="8" t="s">
        <v>5</v>
      </c>
      <c r="I80" s="9">
        <v>2712698</v>
      </c>
      <c r="J80" s="10">
        <v>158218</v>
      </c>
      <c r="K80" s="10">
        <f>+J80</f>
        <v>158218</v>
      </c>
      <c r="L80" s="11">
        <f>+K80/I80</f>
        <v>5.8324959136623389E-2</v>
      </c>
    </row>
    <row r="81" spans="2:12" ht="14.5" x14ac:dyDescent="0.35">
      <c r="B81" s="8" t="s">
        <v>40</v>
      </c>
      <c r="C81" s="9">
        <v>2780250</v>
      </c>
      <c r="D81" s="10">
        <v>199710</v>
      </c>
      <c r="E81" s="10">
        <f t="shared" ref="E81:E91" si="16">+E80+D81</f>
        <v>410216</v>
      </c>
      <c r="F81" s="11">
        <f t="shared" si="15"/>
        <v>0.14754644366513803</v>
      </c>
      <c r="H81" s="8" t="s">
        <v>40</v>
      </c>
      <c r="I81" s="9">
        <v>2743806</v>
      </c>
      <c r="J81" s="10">
        <v>176272</v>
      </c>
      <c r="K81" s="10">
        <f t="shared" ref="K81:K91" si="17">+K80+J81</f>
        <v>334490</v>
      </c>
      <c r="L81" s="11">
        <f t="shared" ref="L81:L91" si="18">+K81/I81</f>
        <v>0.12190730685770058</v>
      </c>
    </row>
    <row r="82" spans="2:12" ht="14.5" x14ac:dyDescent="0.35">
      <c r="B82" s="8" t="s">
        <v>17</v>
      </c>
      <c r="C82" s="9">
        <v>3376572</v>
      </c>
      <c r="D82" s="10">
        <v>340456</v>
      </c>
      <c r="E82" s="10">
        <f t="shared" si="16"/>
        <v>750672</v>
      </c>
      <c r="F82" s="11">
        <f t="shared" si="15"/>
        <v>0.22231778265056987</v>
      </c>
      <c r="H82" s="8" t="s">
        <v>17</v>
      </c>
      <c r="I82" s="9">
        <v>2759626</v>
      </c>
      <c r="J82" s="10">
        <v>308226</v>
      </c>
      <c r="K82" s="10">
        <f t="shared" si="17"/>
        <v>642716</v>
      </c>
      <c r="L82" s="11">
        <f t="shared" si="18"/>
        <v>0.23289967553574289</v>
      </c>
    </row>
    <row r="83" spans="2:12" ht="14.5" x14ac:dyDescent="0.35">
      <c r="B83" s="8" t="s">
        <v>18</v>
      </c>
      <c r="C83" s="9">
        <v>3471892</v>
      </c>
      <c r="D83" s="10">
        <v>198485</v>
      </c>
      <c r="E83" s="10">
        <f t="shared" si="16"/>
        <v>949157</v>
      </c>
      <c r="F83" s="11">
        <f t="shared" si="15"/>
        <v>0.27338321583735897</v>
      </c>
      <c r="H83" s="8" t="s">
        <v>18</v>
      </c>
      <c r="I83" s="9">
        <v>2759626</v>
      </c>
      <c r="J83" s="10">
        <v>196301</v>
      </c>
      <c r="K83" s="10">
        <f t="shared" si="17"/>
        <v>839017</v>
      </c>
      <c r="L83" s="11">
        <f t="shared" si="18"/>
        <v>0.30403286532305462</v>
      </c>
    </row>
    <row r="84" spans="2:12" ht="14.5" x14ac:dyDescent="0.35">
      <c r="B84" s="8" t="s">
        <v>23</v>
      </c>
      <c r="C84" s="14">
        <v>3486452</v>
      </c>
      <c r="D84" s="12">
        <v>278639</v>
      </c>
      <c r="E84" s="12">
        <f t="shared" si="16"/>
        <v>1227796</v>
      </c>
      <c r="F84" s="13">
        <f t="shared" si="15"/>
        <v>0.35216202603678465</v>
      </c>
      <c r="H84" s="8" t="s">
        <v>23</v>
      </c>
      <c r="I84" s="14">
        <v>2759626</v>
      </c>
      <c r="J84" s="12">
        <v>214748</v>
      </c>
      <c r="K84" s="12">
        <f t="shared" si="17"/>
        <v>1053765</v>
      </c>
      <c r="L84" s="13">
        <f t="shared" si="18"/>
        <v>0.38185065657447786</v>
      </c>
    </row>
    <row r="85" spans="2:12" ht="14.5" x14ac:dyDescent="0.35">
      <c r="B85" s="8" t="s">
        <v>25</v>
      </c>
      <c r="C85" s="14">
        <v>3529554</v>
      </c>
      <c r="D85" s="12">
        <v>342588</v>
      </c>
      <c r="E85" s="12">
        <f t="shared" si="16"/>
        <v>1570384</v>
      </c>
      <c r="F85" s="13">
        <f t="shared" si="15"/>
        <v>0.44492420288795692</v>
      </c>
      <c r="H85" s="8" t="s">
        <v>25</v>
      </c>
      <c r="I85" s="14">
        <v>2834067</v>
      </c>
      <c r="J85" s="12">
        <v>244434</v>
      </c>
      <c r="K85" s="12">
        <f t="shared" si="17"/>
        <v>1298199</v>
      </c>
      <c r="L85" s="13">
        <f t="shared" si="18"/>
        <v>0.45806926935742875</v>
      </c>
    </row>
    <row r="86" spans="2:12" ht="14.5" x14ac:dyDescent="0.35">
      <c r="B86" s="8" t="s">
        <v>26</v>
      </c>
      <c r="C86" s="9">
        <v>3606832</v>
      </c>
      <c r="D86" s="10">
        <v>238898</v>
      </c>
      <c r="E86" s="10">
        <f t="shared" si="16"/>
        <v>1809282</v>
      </c>
      <c r="F86" s="11">
        <f t="shared" si="15"/>
        <v>0.50162635797841426</v>
      </c>
      <c r="H86" s="8" t="s">
        <v>26</v>
      </c>
      <c r="I86" s="9">
        <v>2834067</v>
      </c>
      <c r="J86" s="10">
        <v>232956</v>
      </c>
      <c r="K86" s="10">
        <f t="shared" si="17"/>
        <v>1531155</v>
      </c>
      <c r="L86" s="11">
        <f t="shared" si="18"/>
        <v>0.54026774949216094</v>
      </c>
    </row>
    <row r="87" spans="2:12" ht="14.5" x14ac:dyDescent="0.35">
      <c r="B87" s="8" t="s">
        <v>27</v>
      </c>
      <c r="C87" s="14">
        <v>3606832</v>
      </c>
      <c r="D87" s="12">
        <v>259894</v>
      </c>
      <c r="E87" s="12">
        <f t="shared" si="16"/>
        <v>2069176</v>
      </c>
      <c r="F87" s="13">
        <f t="shared" si="15"/>
        <v>0.5736823894209655</v>
      </c>
      <c r="H87" s="8" t="s">
        <v>27</v>
      </c>
      <c r="I87" s="14">
        <v>2834067</v>
      </c>
      <c r="J87" s="12">
        <v>248141</v>
      </c>
      <c r="K87" s="12">
        <f t="shared" si="17"/>
        <v>1779296</v>
      </c>
      <c r="L87" s="13">
        <f t="shared" si="18"/>
        <v>0.62782425397846986</v>
      </c>
    </row>
    <row r="88" spans="2:12" ht="14.5" x14ac:dyDescent="0.35">
      <c r="B88" s="8" t="s">
        <v>49</v>
      </c>
      <c r="C88" s="14">
        <v>3606832</v>
      </c>
      <c r="D88" s="12">
        <v>340766</v>
      </c>
      <c r="E88" s="12">
        <f t="shared" si="16"/>
        <v>2409942</v>
      </c>
      <c r="F88" s="13">
        <f t="shared" si="15"/>
        <v>0.66816031353830729</v>
      </c>
      <c r="H88" s="8" t="s">
        <v>49</v>
      </c>
      <c r="I88" s="14">
        <v>2981090</v>
      </c>
      <c r="J88" s="12">
        <v>269337</v>
      </c>
      <c r="K88" s="12">
        <f t="shared" si="17"/>
        <v>2048633</v>
      </c>
      <c r="L88" s="13">
        <f t="shared" si="18"/>
        <v>0.68720937643613578</v>
      </c>
    </row>
    <row r="89" spans="2:12" ht="14.5" x14ac:dyDescent="0.35">
      <c r="B89" s="8" t="s">
        <v>57</v>
      </c>
      <c r="C89" s="14">
        <v>3641724</v>
      </c>
      <c r="D89" s="12">
        <v>276464</v>
      </c>
      <c r="E89" s="12">
        <f t="shared" si="16"/>
        <v>2686406</v>
      </c>
      <c r="F89" s="13">
        <f t="shared" si="15"/>
        <v>0.73767424439633533</v>
      </c>
      <c r="H89" s="8" t="s">
        <v>57</v>
      </c>
      <c r="I89" s="14">
        <v>2992839</v>
      </c>
      <c r="J89" s="12">
        <v>220999</v>
      </c>
      <c r="K89" s="12">
        <f t="shared" si="17"/>
        <v>2269632</v>
      </c>
      <c r="L89" s="13">
        <f t="shared" si="18"/>
        <v>0.75835419145500305</v>
      </c>
    </row>
    <row r="90" spans="2:12" ht="14.5" x14ac:dyDescent="0.35">
      <c r="B90" s="8" t="s">
        <v>58</v>
      </c>
      <c r="C90" s="14">
        <v>3651724</v>
      </c>
      <c r="D90" s="12">
        <v>291260</v>
      </c>
      <c r="E90" s="12">
        <f t="shared" si="16"/>
        <v>2977666</v>
      </c>
      <c r="F90" s="13">
        <f t="shared" si="15"/>
        <v>0.81541376073328653</v>
      </c>
      <c r="H90" s="8" t="s">
        <v>58</v>
      </c>
      <c r="I90" s="14">
        <v>3008413</v>
      </c>
      <c r="J90" s="12">
        <v>232830</v>
      </c>
      <c r="K90" s="12">
        <f t="shared" si="17"/>
        <v>2502462</v>
      </c>
      <c r="L90" s="13">
        <f t="shared" si="18"/>
        <v>0.83182129581277575</v>
      </c>
    </row>
    <row r="91" spans="2:12" ht="14.5" x14ac:dyDescent="0.35">
      <c r="B91" s="8" t="s">
        <v>31</v>
      </c>
      <c r="C91" s="9">
        <v>3601321</v>
      </c>
      <c r="D91" s="10">
        <f>520795+15560</f>
        <v>536355</v>
      </c>
      <c r="E91" s="10">
        <f t="shared" si="16"/>
        <v>3514021</v>
      </c>
      <c r="F91" s="11">
        <f t="shared" si="15"/>
        <v>0.97575889513875602</v>
      </c>
      <c r="G91" s="4"/>
      <c r="H91" s="8" t="s">
        <v>31</v>
      </c>
      <c r="I91" s="9">
        <v>3008413</v>
      </c>
      <c r="J91" s="10">
        <f>375195+1000</f>
        <v>376195</v>
      </c>
      <c r="K91" s="10">
        <f t="shared" si="17"/>
        <v>2878657</v>
      </c>
      <c r="L91" s="11">
        <f t="shared" si="18"/>
        <v>0.95686895383047477</v>
      </c>
    </row>
    <row r="92" spans="2:12" ht="14.5" x14ac:dyDescent="0.35">
      <c r="B92" s="15" t="s">
        <v>67</v>
      </c>
      <c r="C92" s="19">
        <f>+C91</f>
        <v>3601321</v>
      </c>
      <c r="D92" s="20">
        <f>SUM(D80:D91)</f>
        <v>3514021</v>
      </c>
      <c r="E92" s="20">
        <f>+D92</f>
        <v>3514021</v>
      </c>
      <c r="F92" s="21">
        <f t="shared" si="15"/>
        <v>0.97575889513875602</v>
      </c>
      <c r="H92" s="15" t="s">
        <v>67</v>
      </c>
      <c r="I92" s="16">
        <f>+I91</f>
        <v>3008413</v>
      </c>
      <c r="J92" s="17">
        <f>SUM(J80:J91)</f>
        <v>2878657</v>
      </c>
      <c r="K92" s="17">
        <f>+K91</f>
        <v>2878657</v>
      </c>
      <c r="L92" s="18">
        <f>+J92/I92</f>
        <v>0.95686895383047477</v>
      </c>
    </row>
    <row r="93" spans="2:12" ht="14.5" x14ac:dyDescent="0.35">
      <c r="B93" s="5"/>
      <c r="C93" s="22" t="s">
        <v>68</v>
      </c>
      <c r="D93" s="10"/>
      <c r="E93" s="3">
        <f>+C92-E92</f>
        <v>87300</v>
      </c>
      <c r="F93" s="23"/>
      <c r="I93" s="22" t="s">
        <v>69</v>
      </c>
      <c r="J93" s="22"/>
      <c r="K93" s="3">
        <f>+I92-K92</f>
        <v>129756</v>
      </c>
      <c r="L93" s="23"/>
    </row>
    <row r="96" spans="2:12" ht="14.5" x14ac:dyDescent="0.35">
      <c r="B96" s="5"/>
      <c r="E96" s="1"/>
      <c r="F96" s="6"/>
      <c r="K96" s="1"/>
      <c r="L96" s="6"/>
    </row>
    <row r="97" spans="2:14" ht="13" thickBot="1" x14ac:dyDescent="0.3">
      <c r="N97" s="1"/>
    </row>
    <row r="98" spans="2:14" ht="29" x14ac:dyDescent="0.35">
      <c r="B98" s="41" t="s">
        <v>62</v>
      </c>
      <c r="C98" s="42" t="s">
        <v>70</v>
      </c>
      <c r="D98" s="42" t="s">
        <v>71</v>
      </c>
      <c r="E98" s="42" t="s">
        <v>72</v>
      </c>
      <c r="F98" s="42" t="s">
        <v>79</v>
      </c>
      <c r="G98" s="42" t="s">
        <v>83</v>
      </c>
      <c r="H98" s="42" t="s">
        <v>84</v>
      </c>
      <c r="I98" s="42" t="s">
        <v>87</v>
      </c>
      <c r="J98" s="43" t="s">
        <v>88</v>
      </c>
      <c r="K98" s="43" t="s">
        <v>92</v>
      </c>
    </row>
    <row r="99" spans="2:14" ht="14.5" x14ac:dyDescent="0.35">
      <c r="B99" s="44" t="s">
        <v>5</v>
      </c>
      <c r="C99" s="10">
        <f t="shared" ref="C99:C110" si="19">+I80</f>
        <v>2712698</v>
      </c>
      <c r="D99" s="10">
        <f t="shared" ref="D99:D110" si="20">+C80</f>
        <v>2688753</v>
      </c>
      <c r="E99" s="10">
        <f t="shared" ref="E99:E110" si="21">+I62</f>
        <v>2839391</v>
      </c>
      <c r="F99" s="10">
        <v>2896015</v>
      </c>
      <c r="G99" s="10">
        <v>3633356</v>
      </c>
      <c r="H99" s="10">
        <f t="shared" ref="H99:H110" si="22">+C45</f>
        <v>4157304</v>
      </c>
      <c r="I99" s="10">
        <f t="shared" ref="I99:I111" si="23">+I28</f>
        <v>4236903</v>
      </c>
      <c r="J99" s="45">
        <f t="shared" ref="J99:J110" si="24">+C28</f>
        <v>4674930</v>
      </c>
      <c r="K99" s="45">
        <f>+C7</f>
        <v>4859288</v>
      </c>
    </row>
    <row r="100" spans="2:14" ht="14.5" x14ac:dyDescent="0.35">
      <c r="B100" s="44" t="s">
        <v>40</v>
      </c>
      <c r="C100" s="10">
        <f t="shared" si="19"/>
        <v>2743806</v>
      </c>
      <c r="D100" s="10">
        <f t="shared" si="20"/>
        <v>2780250</v>
      </c>
      <c r="E100" s="10">
        <f t="shared" si="21"/>
        <v>2839391</v>
      </c>
      <c r="F100" s="10">
        <v>3175600</v>
      </c>
      <c r="G100" s="10">
        <f t="shared" ref="G100:G109" si="25">+G99</f>
        <v>3633356</v>
      </c>
      <c r="H100" s="10">
        <f t="shared" si="22"/>
        <v>4157304</v>
      </c>
      <c r="I100" s="10">
        <f t="shared" si="23"/>
        <v>4236903</v>
      </c>
      <c r="J100" s="45">
        <f t="shared" si="24"/>
        <v>4674930</v>
      </c>
      <c r="K100" s="45">
        <f>+C8</f>
        <v>4859288</v>
      </c>
    </row>
    <row r="101" spans="2:14" ht="14.5" x14ac:dyDescent="0.35">
      <c r="B101" s="44" t="s">
        <v>17</v>
      </c>
      <c r="C101" s="10">
        <f t="shared" si="19"/>
        <v>2759626</v>
      </c>
      <c r="D101" s="10">
        <f t="shared" si="20"/>
        <v>3376572</v>
      </c>
      <c r="E101" s="10">
        <f t="shared" si="21"/>
        <v>3093483</v>
      </c>
      <c r="F101" s="10">
        <v>3175600</v>
      </c>
      <c r="G101" s="10">
        <f t="shared" si="25"/>
        <v>3633356</v>
      </c>
      <c r="H101" s="10">
        <f t="shared" si="22"/>
        <v>4235221</v>
      </c>
      <c r="I101" s="10">
        <f t="shared" si="23"/>
        <v>4235221</v>
      </c>
      <c r="J101" s="45">
        <f t="shared" si="24"/>
        <v>4674930</v>
      </c>
      <c r="K101" s="45">
        <f t="shared" ref="K101:K110" si="26">+C9</f>
        <v>4918788</v>
      </c>
    </row>
    <row r="102" spans="2:14" ht="14.5" x14ac:dyDescent="0.35">
      <c r="B102" s="44" t="s">
        <v>18</v>
      </c>
      <c r="C102" s="10">
        <f t="shared" si="19"/>
        <v>2759626</v>
      </c>
      <c r="D102" s="10">
        <f t="shared" si="20"/>
        <v>3471892</v>
      </c>
      <c r="E102" s="10">
        <f t="shared" si="21"/>
        <v>3093483</v>
      </c>
      <c r="F102" s="10">
        <v>3175600</v>
      </c>
      <c r="G102" s="10">
        <f t="shared" si="25"/>
        <v>3633356</v>
      </c>
      <c r="H102" s="10">
        <f t="shared" si="22"/>
        <v>4235221</v>
      </c>
      <c r="I102" s="10">
        <f t="shared" si="23"/>
        <v>4235221</v>
      </c>
      <c r="J102" s="45">
        <f t="shared" si="24"/>
        <v>4674930</v>
      </c>
      <c r="K102" s="45">
        <f t="shared" si="26"/>
        <v>4918788</v>
      </c>
    </row>
    <row r="103" spans="2:14" ht="14.5" x14ac:dyDescent="0.35">
      <c r="B103" s="44" t="s">
        <v>23</v>
      </c>
      <c r="C103" s="10">
        <f t="shared" si="19"/>
        <v>2759626</v>
      </c>
      <c r="D103" s="10">
        <f t="shared" si="20"/>
        <v>3486452</v>
      </c>
      <c r="E103" s="10">
        <f t="shared" si="21"/>
        <v>3202573</v>
      </c>
      <c r="F103" s="10">
        <v>3175600</v>
      </c>
      <c r="G103" s="10">
        <f t="shared" si="25"/>
        <v>3633356</v>
      </c>
      <c r="H103" s="10">
        <f t="shared" si="22"/>
        <v>4235221</v>
      </c>
      <c r="I103" s="10">
        <f t="shared" si="23"/>
        <v>4235221</v>
      </c>
      <c r="J103" s="45">
        <f t="shared" si="24"/>
        <v>4674930</v>
      </c>
      <c r="K103" s="45">
        <f t="shared" si="26"/>
        <v>4918788</v>
      </c>
    </row>
    <row r="104" spans="2:14" ht="14.5" x14ac:dyDescent="0.35">
      <c r="B104" s="44" t="s">
        <v>25</v>
      </c>
      <c r="C104" s="10">
        <f t="shared" si="19"/>
        <v>2834067</v>
      </c>
      <c r="D104" s="10">
        <f t="shared" si="20"/>
        <v>3529554</v>
      </c>
      <c r="E104" s="10">
        <f t="shared" si="21"/>
        <v>3242859</v>
      </c>
      <c r="F104" s="10">
        <v>3175600</v>
      </c>
      <c r="G104" s="10">
        <f t="shared" si="25"/>
        <v>3633356</v>
      </c>
      <c r="H104" s="10">
        <f t="shared" si="22"/>
        <v>4235221</v>
      </c>
      <c r="I104" s="10">
        <f t="shared" si="23"/>
        <v>4235221</v>
      </c>
      <c r="J104" s="45">
        <f t="shared" si="24"/>
        <v>4674930</v>
      </c>
      <c r="K104" s="45" t="e">
        <f t="shared" si="26"/>
        <v>#REF!</v>
      </c>
    </row>
    <row r="105" spans="2:14" ht="14.5" x14ac:dyDescent="0.35">
      <c r="B105" s="44" t="s">
        <v>26</v>
      </c>
      <c r="C105" s="10">
        <f t="shared" si="19"/>
        <v>2834067</v>
      </c>
      <c r="D105" s="10">
        <f t="shared" si="20"/>
        <v>3606832</v>
      </c>
      <c r="E105" s="10">
        <f t="shared" si="21"/>
        <v>3242859</v>
      </c>
      <c r="F105" s="10">
        <v>3175600</v>
      </c>
      <c r="G105" s="10">
        <f t="shared" si="25"/>
        <v>3633356</v>
      </c>
      <c r="H105" s="10">
        <f t="shared" si="22"/>
        <v>4235221</v>
      </c>
      <c r="I105" s="10">
        <f t="shared" si="23"/>
        <v>4235221</v>
      </c>
      <c r="J105" s="45">
        <f t="shared" si="24"/>
        <v>4674930</v>
      </c>
      <c r="K105" s="45" t="e">
        <f t="shared" si="26"/>
        <v>#REF!</v>
      </c>
    </row>
    <row r="106" spans="2:14" ht="14.5" x14ac:dyDescent="0.35">
      <c r="B106" s="44" t="s">
        <v>27</v>
      </c>
      <c r="C106" s="10">
        <f t="shared" si="19"/>
        <v>2834067</v>
      </c>
      <c r="D106" s="10">
        <f t="shared" si="20"/>
        <v>3606832</v>
      </c>
      <c r="E106" s="10">
        <f t="shared" si="21"/>
        <v>3363855</v>
      </c>
      <c r="F106" s="10">
        <v>3175600</v>
      </c>
      <c r="G106" s="10">
        <f t="shared" si="25"/>
        <v>3633356</v>
      </c>
      <c r="H106" s="10">
        <f t="shared" si="22"/>
        <v>4273221</v>
      </c>
      <c r="I106" s="10">
        <f t="shared" si="23"/>
        <v>4509066</v>
      </c>
      <c r="J106" s="45">
        <f t="shared" si="24"/>
        <v>4674930</v>
      </c>
      <c r="K106" s="45" t="e">
        <f t="shared" si="26"/>
        <v>#REF!</v>
      </c>
    </row>
    <row r="107" spans="2:14" ht="14.5" x14ac:dyDescent="0.35">
      <c r="B107" s="44" t="s">
        <v>49</v>
      </c>
      <c r="C107" s="10">
        <f t="shared" si="19"/>
        <v>2981090</v>
      </c>
      <c r="D107" s="10">
        <f t="shared" si="20"/>
        <v>3606832</v>
      </c>
      <c r="E107" s="10">
        <f t="shared" si="21"/>
        <v>3363855</v>
      </c>
      <c r="F107" s="10">
        <v>3546926</v>
      </c>
      <c r="G107" s="10">
        <f t="shared" si="25"/>
        <v>3633356</v>
      </c>
      <c r="H107" s="10">
        <f t="shared" si="22"/>
        <v>4273221</v>
      </c>
      <c r="I107" s="10">
        <f t="shared" si="23"/>
        <v>4509066</v>
      </c>
      <c r="J107" s="45">
        <f t="shared" si="24"/>
        <v>4674930</v>
      </c>
      <c r="K107" s="45" t="e">
        <f t="shared" si="26"/>
        <v>#REF!</v>
      </c>
    </row>
    <row r="108" spans="2:14" ht="14.5" x14ac:dyDescent="0.35">
      <c r="B108" s="44" t="s">
        <v>57</v>
      </c>
      <c r="C108" s="10">
        <f t="shared" si="19"/>
        <v>2992839</v>
      </c>
      <c r="D108" s="10">
        <f t="shared" si="20"/>
        <v>3641724</v>
      </c>
      <c r="E108" s="10">
        <f t="shared" si="21"/>
        <v>3363855</v>
      </c>
      <c r="F108" s="10">
        <v>3546926</v>
      </c>
      <c r="G108" s="10">
        <f t="shared" si="25"/>
        <v>3633356</v>
      </c>
      <c r="H108" s="10">
        <f t="shared" si="22"/>
        <v>4273221</v>
      </c>
      <c r="I108" s="10">
        <f t="shared" si="23"/>
        <v>4509066</v>
      </c>
      <c r="J108" s="45">
        <f t="shared" si="24"/>
        <v>4674930</v>
      </c>
      <c r="K108" s="45" t="e">
        <f t="shared" si="26"/>
        <v>#REF!</v>
      </c>
    </row>
    <row r="109" spans="2:14" ht="14.5" x14ac:dyDescent="0.35">
      <c r="B109" s="44" t="s">
        <v>58</v>
      </c>
      <c r="C109" s="10">
        <f t="shared" si="19"/>
        <v>3008413</v>
      </c>
      <c r="D109" s="10">
        <f t="shared" si="20"/>
        <v>3651724</v>
      </c>
      <c r="E109" s="10">
        <f t="shared" si="21"/>
        <v>3389758</v>
      </c>
      <c r="F109" s="10">
        <v>3546926</v>
      </c>
      <c r="G109" s="10">
        <f t="shared" si="25"/>
        <v>3633356</v>
      </c>
      <c r="H109" s="10">
        <f t="shared" si="22"/>
        <v>4273221</v>
      </c>
      <c r="I109" s="10">
        <f t="shared" si="23"/>
        <v>4509066</v>
      </c>
      <c r="J109" s="45">
        <f t="shared" si="24"/>
        <v>4674930</v>
      </c>
      <c r="K109" s="45" t="e">
        <f t="shared" si="26"/>
        <v>#REF!</v>
      </c>
    </row>
    <row r="110" spans="2:14" ht="14.5" x14ac:dyDescent="0.35">
      <c r="B110" s="44" t="s">
        <v>31</v>
      </c>
      <c r="C110" s="10">
        <f t="shared" si="19"/>
        <v>3008413</v>
      </c>
      <c r="D110" s="10">
        <f t="shared" si="20"/>
        <v>3601321</v>
      </c>
      <c r="E110" s="10">
        <f t="shared" si="21"/>
        <v>3415592</v>
      </c>
      <c r="F110" s="10">
        <v>3570016</v>
      </c>
      <c r="G110" s="10">
        <f>+I57</f>
        <v>4110701</v>
      </c>
      <c r="H110" s="10">
        <f t="shared" si="22"/>
        <v>4430948</v>
      </c>
      <c r="I110" s="10">
        <f t="shared" si="23"/>
        <v>4639823</v>
      </c>
      <c r="J110" s="45">
        <f t="shared" si="24"/>
        <v>4674930</v>
      </c>
      <c r="K110" s="45" t="e">
        <f t="shared" si="26"/>
        <v>#REF!</v>
      </c>
    </row>
    <row r="111" spans="2:14" ht="15" thickBot="1" x14ac:dyDescent="0.4">
      <c r="B111" s="46" t="s">
        <v>67</v>
      </c>
      <c r="C111" s="47">
        <f t="shared" ref="C111:H111" si="27">+C110</f>
        <v>3008413</v>
      </c>
      <c r="D111" s="47">
        <f t="shared" si="27"/>
        <v>3601321</v>
      </c>
      <c r="E111" s="47">
        <f t="shared" si="27"/>
        <v>3415592</v>
      </c>
      <c r="F111" s="47">
        <f t="shared" si="27"/>
        <v>3570016</v>
      </c>
      <c r="G111" s="47">
        <f t="shared" si="27"/>
        <v>4110701</v>
      </c>
      <c r="H111" s="48">
        <f t="shared" si="27"/>
        <v>4430948</v>
      </c>
      <c r="I111" s="48">
        <f t="shared" si="23"/>
        <v>4639823</v>
      </c>
      <c r="J111" s="49">
        <f>+C40</f>
        <v>4674930</v>
      </c>
      <c r="K111" s="49" t="e">
        <f>+C19</f>
        <v>#REF!</v>
      </c>
      <c r="L111" s="6" t="e">
        <f>+K111/J111-1</f>
        <v>#REF!</v>
      </c>
    </row>
    <row r="114" spans="2:11" ht="13" thickBot="1" x14ac:dyDescent="0.3"/>
    <row r="115" spans="2:11" ht="14.5" x14ac:dyDescent="0.35">
      <c r="B115" s="41" t="s">
        <v>62</v>
      </c>
      <c r="C115" s="42" t="s">
        <v>73</v>
      </c>
      <c r="D115" s="42" t="s">
        <v>74</v>
      </c>
      <c r="E115" s="42" t="s">
        <v>75</v>
      </c>
      <c r="F115" s="42" t="s">
        <v>80</v>
      </c>
      <c r="G115" s="42" t="s">
        <v>82</v>
      </c>
      <c r="H115" s="42" t="s">
        <v>85</v>
      </c>
      <c r="I115" s="42" t="s">
        <v>89</v>
      </c>
      <c r="J115" s="43" t="s">
        <v>90</v>
      </c>
      <c r="K115" s="43" t="s">
        <v>93</v>
      </c>
    </row>
    <row r="116" spans="2:11" ht="14.5" x14ac:dyDescent="0.35">
      <c r="B116" s="44" t="s">
        <v>5</v>
      </c>
      <c r="C116" s="12">
        <f t="shared" ref="C116:C127" si="28">+J80</f>
        <v>158218</v>
      </c>
      <c r="D116" s="12">
        <f t="shared" ref="D116:D127" si="29">+D80</f>
        <v>210506</v>
      </c>
      <c r="E116" s="12">
        <f t="shared" ref="E116:E125" si="30">+J62</f>
        <v>233674</v>
      </c>
      <c r="F116" s="40">
        <f t="shared" ref="F116:F127" si="31">+D62</f>
        <v>242772</v>
      </c>
      <c r="G116" s="40">
        <f t="shared" ref="G116:G127" si="32">+J45</f>
        <v>190337.935</v>
      </c>
      <c r="H116" s="12">
        <f t="shared" ref="H116:H127" si="33">+D45</f>
        <v>273716.21900000004</v>
      </c>
      <c r="I116" s="12">
        <f t="shared" ref="I116:I127" si="34">+J28</f>
        <v>245837.796</v>
      </c>
      <c r="J116" s="50">
        <f t="shared" ref="J116:K127" si="35">+D28</f>
        <v>309900.82299999997</v>
      </c>
      <c r="K116" s="50">
        <f t="shared" si="35"/>
        <v>309900.82299999997</v>
      </c>
    </row>
    <row r="117" spans="2:11" ht="14.5" x14ac:dyDescent="0.35">
      <c r="B117" s="44" t="s">
        <v>40</v>
      </c>
      <c r="C117" s="12">
        <f t="shared" si="28"/>
        <v>176272</v>
      </c>
      <c r="D117" s="12">
        <f t="shared" si="29"/>
        <v>199710</v>
      </c>
      <c r="E117" s="12">
        <f t="shared" si="30"/>
        <v>193969</v>
      </c>
      <c r="F117" s="40">
        <f t="shared" si="31"/>
        <v>224124</v>
      </c>
      <c r="G117" s="40">
        <f t="shared" si="32"/>
        <v>331453.78000000003</v>
      </c>
      <c r="H117" s="12">
        <f t="shared" si="33"/>
        <v>291615.76299999998</v>
      </c>
      <c r="I117" s="12">
        <f t="shared" si="34"/>
        <v>360913.49900000001</v>
      </c>
      <c r="J117" s="50">
        <f t="shared" si="35"/>
        <v>341147.97000000003</v>
      </c>
      <c r="K117" s="50">
        <f t="shared" si="35"/>
        <v>651048.79300000006</v>
      </c>
    </row>
    <row r="118" spans="2:11" ht="14.5" x14ac:dyDescent="0.35">
      <c r="B118" s="44" t="s">
        <v>17</v>
      </c>
      <c r="C118" s="12">
        <f t="shared" si="28"/>
        <v>308226</v>
      </c>
      <c r="D118" s="12">
        <f t="shared" si="29"/>
        <v>340456</v>
      </c>
      <c r="E118" s="12">
        <f t="shared" si="30"/>
        <v>327127</v>
      </c>
      <c r="F118" s="40">
        <f t="shared" si="31"/>
        <v>334808</v>
      </c>
      <c r="G118" s="40">
        <f t="shared" si="32"/>
        <v>384384.09100000001</v>
      </c>
      <c r="H118" s="12">
        <f t="shared" si="33"/>
        <v>407326.99599999998</v>
      </c>
      <c r="I118" s="12">
        <f t="shared" si="34"/>
        <v>461117.70299999998</v>
      </c>
      <c r="J118" s="50">
        <f t="shared" si="35"/>
        <v>476726.92200000002</v>
      </c>
      <c r="K118" s="50">
        <f t="shared" si="35"/>
        <v>1127775.7150000001</v>
      </c>
    </row>
    <row r="119" spans="2:11" ht="14.5" x14ac:dyDescent="0.35">
      <c r="B119" s="44" t="s">
        <v>18</v>
      </c>
      <c r="C119" s="12">
        <f t="shared" si="28"/>
        <v>196301</v>
      </c>
      <c r="D119" s="12">
        <f t="shared" si="29"/>
        <v>198485</v>
      </c>
      <c r="E119" s="12">
        <f t="shared" si="30"/>
        <v>219566</v>
      </c>
      <c r="F119" s="40">
        <f t="shared" si="31"/>
        <v>235728</v>
      </c>
      <c r="G119" s="40">
        <f t="shared" si="32"/>
        <v>285089</v>
      </c>
      <c r="H119" s="12">
        <f t="shared" si="33"/>
        <v>312720.48100000003</v>
      </c>
      <c r="I119" s="12">
        <f t="shared" si="34"/>
        <v>328946.78899999999</v>
      </c>
      <c r="J119" s="50">
        <f t="shared" si="35"/>
        <v>287340.00899999996</v>
      </c>
      <c r="K119" s="50">
        <f t="shared" si="35"/>
        <v>1415115.7239999999</v>
      </c>
    </row>
    <row r="120" spans="2:11" ht="14.5" x14ac:dyDescent="0.35">
      <c r="B120" s="44" t="s">
        <v>23</v>
      </c>
      <c r="C120" s="12">
        <f t="shared" si="28"/>
        <v>214748</v>
      </c>
      <c r="D120" s="12">
        <f t="shared" si="29"/>
        <v>278639</v>
      </c>
      <c r="E120" s="12">
        <f t="shared" si="30"/>
        <v>244705</v>
      </c>
      <c r="F120" s="40">
        <f t="shared" si="31"/>
        <v>243299</v>
      </c>
      <c r="G120" s="40">
        <f t="shared" si="32"/>
        <v>335931</v>
      </c>
      <c r="H120" s="12">
        <f t="shared" si="33"/>
        <v>346444.636</v>
      </c>
      <c r="I120" s="12">
        <f t="shared" si="34"/>
        <v>349391.66200000001</v>
      </c>
      <c r="J120" s="50">
        <f t="shared" si="35"/>
        <v>291190.32799999998</v>
      </c>
      <c r="K120" s="50">
        <f t="shared" si="35"/>
        <v>1706306.0519999999</v>
      </c>
    </row>
    <row r="121" spans="2:11" ht="14.5" x14ac:dyDescent="0.35">
      <c r="B121" s="44" t="s">
        <v>25</v>
      </c>
      <c r="C121" s="12">
        <f t="shared" si="28"/>
        <v>244434</v>
      </c>
      <c r="D121" s="12">
        <f t="shared" si="29"/>
        <v>342588</v>
      </c>
      <c r="E121" s="12">
        <f t="shared" si="30"/>
        <v>305734</v>
      </c>
      <c r="F121" s="40">
        <f t="shared" si="31"/>
        <v>359926</v>
      </c>
      <c r="G121" s="40">
        <f t="shared" si="32"/>
        <v>384881</v>
      </c>
      <c r="H121" s="12">
        <f t="shared" si="33"/>
        <v>436060.99900000001</v>
      </c>
      <c r="I121" s="12">
        <f t="shared" si="34"/>
        <v>488022.33500000002</v>
      </c>
      <c r="J121" s="50">
        <f t="shared" si="35"/>
        <v>466154.41299999994</v>
      </c>
      <c r="K121" s="50">
        <f t="shared" si="35"/>
        <v>2172460.4649999999</v>
      </c>
    </row>
    <row r="122" spans="2:11" ht="14.5" x14ac:dyDescent="0.35">
      <c r="B122" s="44" t="s">
        <v>26</v>
      </c>
      <c r="C122" s="12">
        <f t="shared" si="28"/>
        <v>232956</v>
      </c>
      <c r="D122" s="12">
        <f t="shared" si="29"/>
        <v>238898</v>
      </c>
      <c r="E122" s="12">
        <f t="shared" si="30"/>
        <v>230846</v>
      </c>
      <c r="F122" s="40">
        <f t="shared" si="31"/>
        <v>246461</v>
      </c>
      <c r="G122" s="40">
        <f t="shared" si="32"/>
        <v>318180</v>
      </c>
      <c r="H122" s="12">
        <f t="shared" si="33"/>
        <v>297589.723</v>
      </c>
      <c r="I122" s="12">
        <f t="shared" si="34"/>
        <v>353305.49199999997</v>
      </c>
      <c r="J122" s="50">
        <f t="shared" si="35"/>
        <v>368925.984</v>
      </c>
      <c r="K122" s="50">
        <f t="shared" si="35"/>
        <v>2541386.449</v>
      </c>
    </row>
    <row r="123" spans="2:11" ht="14.5" x14ac:dyDescent="0.35">
      <c r="B123" s="44" t="s">
        <v>27</v>
      </c>
      <c r="C123" s="12">
        <f t="shared" si="28"/>
        <v>248141</v>
      </c>
      <c r="D123" s="12">
        <f t="shared" si="29"/>
        <v>259894</v>
      </c>
      <c r="E123" s="12">
        <f t="shared" si="30"/>
        <v>240126.103</v>
      </c>
      <c r="F123" s="40">
        <f t="shared" si="31"/>
        <v>221421</v>
      </c>
      <c r="G123" s="40">
        <f t="shared" si="32"/>
        <v>278327</v>
      </c>
      <c r="H123" s="12">
        <f t="shared" si="33"/>
        <v>311126.92099999997</v>
      </c>
      <c r="I123" s="12">
        <f t="shared" si="34"/>
        <v>317729.614</v>
      </c>
      <c r="J123" s="50">
        <f t="shared" si="35"/>
        <v>309316.67</v>
      </c>
      <c r="K123" s="50">
        <f t="shared" si="35"/>
        <v>2850703.1189999999</v>
      </c>
    </row>
    <row r="124" spans="2:11" ht="14.5" x14ac:dyDescent="0.35">
      <c r="B124" s="44" t="s">
        <v>49</v>
      </c>
      <c r="C124" s="12">
        <f t="shared" si="28"/>
        <v>269337</v>
      </c>
      <c r="D124" s="12">
        <f t="shared" si="29"/>
        <v>340766</v>
      </c>
      <c r="E124" s="12">
        <f t="shared" si="30"/>
        <v>333021.788</v>
      </c>
      <c r="F124" s="40">
        <f t="shared" si="31"/>
        <v>349019.26800000004</v>
      </c>
      <c r="G124" s="40">
        <f t="shared" si="32"/>
        <v>471584</v>
      </c>
      <c r="H124" s="12">
        <f t="shared" si="33"/>
        <v>408340.96799999999</v>
      </c>
      <c r="I124" s="12">
        <f t="shared" si="34"/>
        <v>442857.50099999999</v>
      </c>
      <c r="J124" s="50">
        <f t="shared" si="35"/>
        <v>453507.299</v>
      </c>
      <c r="K124" s="50">
        <f t="shared" si="35"/>
        <v>3304210.4180000001</v>
      </c>
    </row>
    <row r="125" spans="2:11" ht="14.5" x14ac:dyDescent="0.35">
      <c r="B125" s="44" t="s">
        <v>57</v>
      </c>
      <c r="C125" s="12">
        <f t="shared" si="28"/>
        <v>220999</v>
      </c>
      <c r="D125" s="12">
        <f t="shared" si="29"/>
        <v>276464</v>
      </c>
      <c r="E125" s="12">
        <f t="shared" si="30"/>
        <v>231814.83900000001</v>
      </c>
      <c r="F125" s="40">
        <f t="shared" si="31"/>
        <v>296044</v>
      </c>
      <c r="G125" s="40">
        <f t="shared" si="32"/>
        <v>264785</v>
      </c>
      <c r="H125" s="12">
        <f t="shared" si="33"/>
        <v>294059.56900000002</v>
      </c>
      <c r="I125" s="12">
        <f t="shared" si="34"/>
        <v>312794.092</v>
      </c>
      <c r="J125" s="50">
        <f t="shared" si="35"/>
        <v>315097.46799999999</v>
      </c>
      <c r="K125" s="50">
        <f t="shared" si="35"/>
        <v>3619307.8859999999</v>
      </c>
    </row>
    <row r="126" spans="2:11" ht="14.5" x14ac:dyDescent="0.35">
      <c r="B126" s="44" t="s">
        <v>58</v>
      </c>
      <c r="C126" s="12">
        <f t="shared" si="28"/>
        <v>232830</v>
      </c>
      <c r="D126" s="12">
        <f t="shared" si="29"/>
        <v>291260</v>
      </c>
      <c r="E126" s="12">
        <f>J72</f>
        <v>295575.973</v>
      </c>
      <c r="F126" s="40">
        <f t="shared" si="31"/>
        <v>271461.04799999995</v>
      </c>
      <c r="G126" s="40">
        <f t="shared" si="32"/>
        <v>291494</v>
      </c>
      <c r="H126" s="12">
        <f t="shared" si="33"/>
        <v>336225.38500000001</v>
      </c>
      <c r="I126" s="12">
        <f t="shared" si="34"/>
        <v>343745.88699999999</v>
      </c>
      <c r="J126" s="50">
        <f t="shared" si="35"/>
        <v>376348.70900000003</v>
      </c>
      <c r="K126" s="50">
        <f t="shared" si="35"/>
        <v>3995656.5949999997</v>
      </c>
    </row>
    <row r="127" spans="2:11" ht="14.5" x14ac:dyDescent="0.35">
      <c r="B127" s="44" t="s">
        <v>31</v>
      </c>
      <c r="C127" s="12">
        <f t="shared" si="28"/>
        <v>376195</v>
      </c>
      <c r="D127" s="12">
        <f t="shared" si="29"/>
        <v>536355</v>
      </c>
      <c r="E127" s="12">
        <f>+J73</f>
        <v>492072.94900000002</v>
      </c>
      <c r="F127" s="40">
        <f t="shared" si="31"/>
        <v>531530.43599999999</v>
      </c>
      <c r="G127" s="40">
        <f t="shared" si="32"/>
        <v>523052.02500000002</v>
      </c>
      <c r="H127" s="12">
        <f t="shared" si="33"/>
        <v>561393.55099999998</v>
      </c>
      <c r="I127" s="12">
        <f t="shared" si="34"/>
        <v>592710.60199999996</v>
      </c>
      <c r="J127" s="50">
        <f t="shared" si="35"/>
        <v>648375</v>
      </c>
      <c r="K127" s="50">
        <f t="shared" si="35"/>
        <v>4644031.5949999997</v>
      </c>
    </row>
    <row r="128" spans="2:11" ht="15" thickBot="1" x14ac:dyDescent="0.4">
      <c r="B128" s="46" t="s">
        <v>67</v>
      </c>
      <c r="C128" s="47">
        <f t="shared" ref="C128:J128" si="36">SUM(C116:C127)</f>
        <v>2878657</v>
      </c>
      <c r="D128" s="47">
        <f t="shared" si="36"/>
        <v>3514021</v>
      </c>
      <c r="E128" s="47">
        <f t="shared" si="36"/>
        <v>3348232.6520000007</v>
      </c>
      <c r="F128" s="51">
        <f t="shared" si="36"/>
        <v>3556593.7520000003</v>
      </c>
      <c r="G128" s="51">
        <f t="shared" si="36"/>
        <v>4059498.8309999998</v>
      </c>
      <c r="H128" s="51">
        <f t="shared" si="36"/>
        <v>4276621.2110000001</v>
      </c>
      <c r="I128" s="51">
        <f t="shared" si="36"/>
        <v>4597372.972000001</v>
      </c>
      <c r="J128" s="52">
        <f t="shared" si="36"/>
        <v>4644031.5949999997</v>
      </c>
      <c r="K128" s="52">
        <f t="shared" ref="K128" si="37">SUM(K116:K127)</f>
        <v>28337903.633999996</v>
      </c>
    </row>
    <row r="129" spans="2:6" ht="15" customHeight="1" x14ac:dyDescent="0.25"/>
    <row r="130" spans="2:6" ht="15" customHeight="1" x14ac:dyDescent="0.25"/>
    <row r="131" spans="2:6" ht="15" customHeight="1" x14ac:dyDescent="0.25"/>
    <row r="132" spans="2:6" ht="15" customHeight="1" x14ac:dyDescent="0.25"/>
    <row r="136" spans="2:6" ht="43.5" x14ac:dyDescent="0.35">
      <c r="B136" s="30" t="s">
        <v>61</v>
      </c>
      <c r="C136" s="24" t="s">
        <v>76</v>
      </c>
      <c r="D136" s="24" t="s">
        <v>77</v>
      </c>
      <c r="E136" s="24" t="s">
        <v>66</v>
      </c>
      <c r="F136" s="24" t="s">
        <v>78</v>
      </c>
    </row>
    <row r="137" spans="2:6" ht="14.5" x14ac:dyDescent="0.35">
      <c r="B137" s="30">
        <v>2011</v>
      </c>
      <c r="C137" s="38">
        <f>+C111</f>
        <v>3008413</v>
      </c>
      <c r="D137" s="12">
        <f>+C128</f>
        <v>2878657</v>
      </c>
      <c r="E137" s="25">
        <f t="shared" ref="E137:E141" si="38">+D137/C137</f>
        <v>0.95686895383047477</v>
      </c>
      <c r="F137" s="26"/>
    </row>
    <row r="138" spans="2:6" ht="14.5" x14ac:dyDescent="0.35">
      <c r="B138" s="30">
        <v>2012</v>
      </c>
      <c r="C138" s="38">
        <f>+D111</f>
        <v>3601321</v>
      </c>
      <c r="D138" s="12">
        <f>+D128</f>
        <v>3514021</v>
      </c>
      <c r="E138" s="25">
        <f t="shared" si="38"/>
        <v>0.97575889513875602</v>
      </c>
      <c r="F138" s="26">
        <f>+(C138-C137)/C137</f>
        <v>0.19708331269676072</v>
      </c>
    </row>
    <row r="139" spans="2:6" ht="14.5" x14ac:dyDescent="0.35">
      <c r="B139" s="30">
        <v>2013</v>
      </c>
      <c r="C139" s="38">
        <f>+E111</f>
        <v>3415592</v>
      </c>
      <c r="D139" s="12">
        <f>+E128</f>
        <v>3348232.6520000007</v>
      </c>
      <c r="E139" s="25">
        <f t="shared" si="38"/>
        <v>0.98027886585985702</v>
      </c>
      <c r="F139" s="26">
        <f t="shared" ref="F139" si="39">+(C139-C138)/C138</f>
        <v>-5.1572464659495783E-2</v>
      </c>
    </row>
    <row r="140" spans="2:6" ht="14.5" x14ac:dyDescent="0.35">
      <c r="B140" s="30">
        <v>2014</v>
      </c>
      <c r="C140" s="38">
        <f>+F111</f>
        <v>3570016</v>
      </c>
      <c r="D140" s="10">
        <f>+F128</f>
        <v>3556593.7520000003</v>
      </c>
      <c r="E140" s="25">
        <f t="shared" si="38"/>
        <v>0.99624028351693672</v>
      </c>
      <c r="F140" s="26">
        <f>+(C140-C139)/C139</f>
        <v>4.5211488960039722E-2</v>
      </c>
    </row>
    <row r="141" spans="2:6" ht="14.5" x14ac:dyDescent="0.35">
      <c r="B141" s="30">
        <v>2015</v>
      </c>
      <c r="C141" s="38">
        <f>+G111</f>
        <v>4110701</v>
      </c>
      <c r="D141" s="10">
        <f>+J57</f>
        <v>4059498.8309999998</v>
      </c>
      <c r="E141" s="25">
        <f t="shared" si="38"/>
        <v>0.98754417579872622</v>
      </c>
      <c r="F141" s="26">
        <f>+(C141-C140)/C140</f>
        <v>0.15145170217724516</v>
      </c>
    </row>
    <row r="142" spans="2:6" ht="14.5" x14ac:dyDescent="0.35">
      <c r="B142" s="30">
        <v>2016</v>
      </c>
      <c r="C142" s="38">
        <f>+H111</f>
        <v>4430948</v>
      </c>
      <c r="D142" s="10">
        <f>+H128</f>
        <v>4276621.2110000001</v>
      </c>
      <c r="E142" s="25">
        <f t="shared" ref="E142" si="40">+D142/C142</f>
        <v>0.96517070635900037</v>
      </c>
      <c r="F142" s="26">
        <f>+(C142-C141)/C141</f>
        <v>7.7905690537939873E-2</v>
      </c>
    </row>
    <row r="143" spans="2:6" ht="14.5" x14ac:dyDescent="0.35">
      <c r="B143" s="30">
        <v>2017</v>
      </c>
      <c r="C143" s="39">
        <f>+I40</f>
        <v>4639823</v>
      </c>
      <c r="D143" s="10">
        <f>+J40</f>
        <v>4597372.972000001</v>
      </c>
      <c r="E143" s="25">
        <f t="shared" ref="E143:E144" si="41">+D143/C143</f>
        <v>0.99085093806380131</v>
      </c>
      <c r="F143" s="26">
        <f>+(C143-C142)/C142</f>
        <v>4.7140025114264489E-2</v>
      </c>
    </row>
    <row r="144" spans="2:6" ht="14.5" x14ac:dyDescent="0.35">
      <c r="B144" s="30">
        <v>2018</v>
      </c>
      <c r="C144" s="39">
        <f>+C40</f>
        <v>4674930</v>
      </c>
      <c r="D144" s="10">
        <f>+D40</f>
        <v>4644031.5949999997</v>
      </c>
      <c r="E144" s="25">
        <f t="shared" si="41"/>
        <v>0.99339061654399097</v>
      </c>
      <c r="F144" s="26">
        <f>+(C144-C143)/C143</f>
        <v>7.56645242717233E-3</v>
      </c>
    </row>
  </sheetData>
  <mergeCells count="12">
    <mergeCell ref="O1:AS1"/>
    <mergeCell ref="B1:L1"/>
    <mergeCell ref="B2:L2"/>
    <mergeCell ref="I26:L26"/>
    <mergeCell ref="C26:F26"/>
    <mergeCell ref="C5:F5"/>
    <mergeCell ref="I78:L78"/>
    <mergeCell ref="C43:F43"/>
    <mergeCell ref="C78:F78"/>
    <mergeCell ref="I60:L60"/>
    <mergeCell ref="C60:F60"/>
    <mergeCell ref="I43:L43"/>
  </mergeCells>
  <pageMargins left="0.70866141732283472" right="0.70866141732283472" top="0.74803149606299213" bottom="0.74803149606299213" header="0.31496062992125984" footer="0.31496062992125984"/>
  <pageSetup scale="54" orientation="landscape" r:id="rId1"/>
  <rowBreaks count="3" manualBreakCount="3">
    <brk id="58" max="12" man="1"/>
    <brk id="95" max="12" man="1"/>
    <brk id="130" max="12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P23" sqref="P23"/>
    </sheetView>
  </sheetViews>
  <sheetFormatPr baseColWidth="10" defaultRowHeight="12.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11AC-B06C-49D1-AF45-B52904523E50}">
  <sheetPr>
    <tabColor theme="0"/>
    <pageSetUpPr fitToPage="1"/>
  </sheetPr>
  <dimension ref="A1:S39"/>
  <sheetViews>
    <sheetView showGridLines="0" topLeftCell="A27" zoomScale="75" zoomScaleNormal="75" zoomScaleSheetLayoutView="75" workbookViewId="0">
      <selection activeCell="D29" sqref="D29"/>
    </sheetView>
  </sheetViews>
  <sheetFormatPr baseColWidth="10" defaultRowHeight="13" x14ac:dyDescent="0.3"/>
  <cols>
    <col min="1" max="1" width="8" style="71" bestFit="1" customWidth="1"/>
    <col min="2" max="2" width="7.54296875" style="71" customWidth="1"/>
    <col min="3" max="3" width="43" style="71" customWidth="1"/>
    <col min="4" max="4" width="16.81640625" style="71" customWidth="1"/>
    <col min="5" max="5" width="14.81640625" style="71" customWidth="1"/>
    <col min="6" max="10" width="13.26953125" style="71" customWidth="1"/>
    <col min="11" max="13" width="11.54296875" style="71" customWidth="1"/>
    <col min="14" max="14" width="14.26953125" style="71" customWidth="1"/>
    <col min="15" max="16" width="15.1796875" style="71" customWidth="1"/>
    <col min="17" max="17" width="17.54296875" style="71" customWidth="1"/>
    <col min="18" max="18" width="22.453125" style="71" bestFit="1" customWidth="1"/>
    <col min="19" max="19" width="19.26953125" style="71" customWidth="1"/>
    <col min="20" max="16384" width="10.90625" style="71"/>
  </cols>
  <sheetData>
    <row r="1" spans="1:19" ht="15" thickTop="1" x14ac:dyDescent="0.35">
      <c r="A1" s="66" t="s">
        <v>0</v>
      </c>
      <c r="B1" s="67" t="s">
        <v>1</v>
      </c>
      <c r="C1" s="68" t="s">
        <v>2</v>
      </c>
      <c r="D1" s="68" t="s">
        <v>16</v>
      </c>
      <c r="E1" s="69" t="s">
        <v>3</v>
      </c>
      <c r="F1" s="69" t="s">
        <v>5</v>
      </c>
      <c r="G1" s="69" t="s">
        <v>40</v>
      </c>
      <c r="H1" s="69" t="s">
        <v>17</v>
      </c>
      <c r="I1" s="69" t="s">
        <v>18</v>
      </c>
      <c r="J1" s="69" t="s">
        <v>23</v>
      </c>
      <c r="K1" s="69" t="s">
        <v>25</v>
      </c>
      <c r="L1" s="69" t="s">
        <v>26</v>
      </c>
      <c r="M1" s="69" t="s">
        <v>27</v>
      </c>
      <c r="N1" s="69" t="s">
        <v>49</v>
      </c>
      <c r="O1" s="69" t="s">
        <v>57</v>
      </c>
      <c r="P1" s="69" t="s">
        <v>58</v>
      </c>
      <c r="Q1" s="69" t="s">
        <v>38</v>
      </c>
      <c r="R1" s="70" t="s">
        <v>39</v>
      </c>
    </row>
    <row r="2" spans="1:19" ht="14.5" x14ac:dyDescent="0.35">
      <c r="A2" s="72">
        <v>5</v>
      </c>
      <c r="B2" s="73"/>
      <c r="C2" s="74" t="s">
        <v>24</v>
      </c>
      <c r="D2" s="75">
        <f>+ENERO2021!D3</f>
        <v>4757859</v>
      </c>
      <c r="E2" s="76">
        <v>4593699</v>
      </c>
      <c r="F2" s="75">
        <f>+ENERO2021!F3</f>
        <v>346000</v>
      </c>
      <c r="G2" s="75">
        <v>418584.22100000002</v>
      </c>
      <c r="H2" s="75">
        <v>529500.04500000004</v>
      </c>
      <c r="I2" s="75">
        <v>341289.951</v>
      </c>
      <c r="J2" s="75">
        <v>360231.18300000002</v>
      </c>
      <c r="K2" s="75">
        <v>535193.55299999996</v>
      </c>
      <c r="L2" s="75">
        <v>475798.98700000002</v>
      </c>
      <c r="M2" s="75">
        <v>283385.495</v>
      </c>
      <c r="N2" s="75">
        <v>80533.273000000001</v>
      </c>
      <c r="O2" s="75">
        <v>195556.03899999999</v>
      </c>
      <c r="P2" s="75">
        <v>313882.22200000001</v>
      </c>
      <c r="Q2" s="75">
        <f>SUM(F2:P2)</f>
        <v>3879954.9690000005</v>
      </c>
      <c r="R2" s="77">
        <f>+E2-Q2</f>
        <v>713744.03099999949</v>
      </c>
    </row>
    <row r="3" spans="1:19" ht="14.5" x14ac:dyDescent="0.35">
      <c r="A3" s="72"/>
      <c r="B3" s="78"/>
      <c r="C3" s="79"/>
      <c r="D3" s="80"/>
      <c r="E3" s="81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77"/>
    </row>
    <row r="4" spans="1:19" ht="14.5" x14ac:dyDescent="0.35">
      <c r="A4" s="72">
        <v>6</v>
      </c>
      <c r="B4" s="82"/>
      <c r="C4" s="74" t="s">
        <v>34</v>
      </c>
      <c r="D4" s="75">
        <f>+ENERO2021!D5</f>
        <v>31476</v>
      </c>
      <c r="E4" s="83">
        <f>+ENERO2021!E5-10</f>
        <v>31466</v>
      </c>
      <c r="F4" s="75">
        <f>+ENERO2021!F5</f>
        <v>2083.7669999999998</v>
      </c>
      <c r="G4" s="75">
        <v>2641.8310000000001</v>
      </c>
      <c r="H4" s="75">
        <v>2510.7759999999998</v>
      </c>
      <c r="I4" s="75">
        <v>3155.8980000000001</v>
      </c>
      <c r="J4" s="75">
        <v>2713.4549999999999</v>
      </c>
      <c r="K4" s="75">
        <v>1945.0889999999999</v>
      </c>
      <c r="L4" s="75">
        <v>2854.212</v>
      </c>
      <c r="M4" s="75">
        <v>1960.8430000000001</v>
      </c>
      <c r="N4" s="75">
        <v>2507.6619999999998</v>
      </c>
      <c r="O4" s="75">
        <v>1936.202</v>
      </c>
      <c r="P4" s="75">
        <v>2169.346</v>
      </c>
      <c r="Q4" s="75">
        <f>SUM(F4:P4)</f>
        <v>26479.081000000006</v>
      </c>
      <c r="R4" s="77">
        <f>+E4-Q4</f>
        <v>4986.9189999999944</v>
      </c>
    </row>
    <row r="5" spans="1:19" ht="14.5" x14ac:dyDescent="0.35">
      <c r="A5" s="84"/>
      <c r="B5" s="78"/>
      <c r="C5" s="78"/>
      <c r="D5" s="78"/>
      <c r="E5" s="85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86"/>
    </row>
    <row r="6" spans="1:19" ht="14.5" x14ac:dyDescent="0.35">
      <c r="A6" s="72">
        <v>8</v>
      </c>
      <c r="B6" s="87"/>
      <c r="C6" s="74" t="s">
        <v>36</v>
      </c>
      <c r="D6" s="75">
        <f t="shared" ref="D6:P6" si="0">+D7+D9+D8</f>
        <v>37439</v>
      </c>
      <c r="E6" s="75">
        <f t="shared" si="0"/>
        <v>37439</v>
      </c>
      <c r="F6" s="75">
        <f t="shared" si="0"/>
        <v>0</v>
      </c>
      <c r="G6" s="75">
        <v>0</v>
      </c>
      <c r="H6" s="75">
        <f t="shared" ref="H6:J6" si="1">+H7+H9+H8</f>
        <v>5056.1859999999997</v>
      </c>
      <c r="I6" s="75">
        <f t="shared" si="1"/>
        <v>0</v>
      </c>
      <c r="J6" s="75">
        <f t="shared" si="1"/>
        <v>8329.3080000000009</v>
      </c>
      <c r="K6" s="75">
        <f t="shared" si="0"/>
        <v>12717.816000000001</v>
      </c>
      <c r="L6" s="75">
        <f t="shared" si="0"/>
        <v>5178.3429999999998</v>
      </c>
      <c r="M6" s="75">
        <f t="shared" si="0"/>
        <v>0</v>
      </c>
      <c r="N6" s="75">
        <f t="shared" si="0"/>
        <v>14088.460999999999</v>
      </c>
      <c r="O6" s="75">
        <f t="shared" ref="O6" si="2">+O7+O9+O8</f>
        <v>0</v>
      </c>
      <c r="P6" s="75">
        <f t="shared" si="0"/>
        <v>11021.839</v>
      </c>
      <c r="Q6" s="75">
        <f>SUM(F6:P6)</f>
        <v>56391.953000000001</v>
      </c>
      <c r="R6" s="77">
        <f>SUM(R7:R9)</f>
        <v>-18952.953000000001</v>
      </c>
    </row>
    <row r="7" spans="1:19" ht="14.5" x14ac:dyDescent="0.35">
      <c r="A7" s="72"/>
      <c r="B7" s="88" t="s">
        <v>19</v>
      </c>
      <c r="C7" s="89" t="s">
        <v>50</v>
      </c>
      <c r="D7" s="90">
        <f>+ENERO2021!D8</f>
        <v>37439</v>
      </c>
      <c r="E7" s="90">
        <f>+ENERO2021!E8</f>
        <v>37439</v>
      </c>
      <c r="F7" s="90">
        <f>+ENERO2021!F8</f>
        <v>0</v>
      </c>
      <c r="G7" s="90"/>
      <c r="H7" s="90">
        <v>5056.1859999999997</v>
      </c>
      <c r="I7" s="90"/>
      <c r="J7" s="90">
        <v>8329.3080000000009</v>
      </c>
      <c r="K7" s="90">
        <v>12717.816000000001</v>
      </c>
      <c r="L7" s="90">
        <v>5178.3429999999998</v>
      </c>
      <c r="M7" s="90"/>
      <c r="N7" s="90">
        <v>14088.460999999999</v>
      </c>
      <c r="O7" s="90">
        <v>0</v>
      </c>
      <c r="P7" s="90">
        <v>11021.839</v>
      </c>
      <c r="Q7" s="90">
        <f>SUM(F7:P7)</f>
        <v>56391.953000000001</v>
      </c>
      <c r="R7" s="91">
        <f>+E7-Q7</f>
        <v>-18952.953000000001</v>
      </c>
    </row>
    <row r="8" spans="1:19" ht="14.5" x14ac:dyDescent="0.35">
      <c r="A8" s="72"/>
      <c r="B8" s="88" t="s">
        <v>59</v>
      </c>
      <c r="C8" s="89" t="s">
        <v>60</v>
      </c>
      <c r="D8" s="90">
        <f>+ENERO2021!D9</f>
        <v>0</v>
      </c>
      <c r="E8" s="90">
        <f>+ENERO2021!E9</f>
        <v>0</v>
      </c>
      <c r="F8" s="90">
        <f>+ENERO2021!F9</f>
        <v>0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>
        <f>SUM(F8:K8)</f>
        <v>0</v>
      </c>
      <c r="R8" s="91"/>
    </row>
    <row r="9" spans="1:19" ht="14.5" x14ac:dyDescent="0.35">
      <c r="A9" s="72"/>
      <c r="B9" s="88" t="s">
        <v>35</v>
      </c>
      <c r="C9" s="89" t="s">
        <v>51</v>
      </c>
      <c r="D9" s="90">
        <f>+ENERO2021!D10</f>
        <v>0</v>
      </c>
      <c r="E9" s="90">
        <f>+ENERO2021!E10</f>
        <v>0</v>
      </c>
      <c r="F9" s="90">
        <f>+ENERO2021!F10</f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/>
      <c r="M9" s="90"/>
      <c r="N9" s="90"/>
      <c r="O9" s="90"/>
      <c r="P9" s="90"/>
      <c r="Q9" s="90">
        <f>SUM(F9:K9)</f>
        <v>0</v>
      </c>
      <c r="R9" s="91">
        <f>+E9-Q9</f>
        <v>0</v>
      </c>
    </row>
    <row r="10" spans="1:19" ht="14.5" x14ac:dyDescent="0.35">
      <c r="A10" s="92"/>
      <c r="B10" s="88"/>
      <c r="C10" s="93"/>
      <c r="D10" s="90"/>
      <c r="E10" s="94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3"/>
      <c r="R10" s="91"/>
    </row>
    <row r="11" spans="1:19" ht="14.5" x14ac:dyDescent="0.35">
      <c r="A11" s="72">
        <v>12</v>
      </c>
      <c r="B11" s="95"/>
      <c r="C11" s="74" t="s">
        <v>86</v>
      </c>
      <c r="D11" s="93">
        <f>+ENERO2021!D12</f>
        <v>0</v>
      </c>
      <c r="E11" s="85">
        <v>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75">
        <f>SUM(F11:P11)</f>
        <v>0</v>
      </c>
      <c r="R11" s="91">
        <f>+E11-Q11</f>
        <v>10</v>
      </c>
    </row>
    <row r="12" spans="1:19" ht="14.5" x14ac:dyDescent="0.35">
      <c r="A12" s="72">
        <v>13</v>
      </c>
      <c r="B12" s="95"/>
      <c r="C12" s="74" t="s">
        <v>95</v>
      </c>
      <c r="D12" s="90">
        <f>+ENERO2021!D13</f>
        <v>30899</v>
      </c>
      <c r="E12" s="94">
        <f>+ENERO2021!E13+62060</f>
        <v>92959</v>
      </c>
      <c r="F12" s="93"/>
      <c r="G12" s="93">
        <v>0</v>
      </c>
      <c r="H12" s="93">
        <v>1840</v>
      </c>
      <c r="I12" s="93"/>
      <c r="J12" s="90"/>
      <c r="K12" s="90">
        <v>15923</v>
      </c>
      <c r="L12" s="90"/>
      <c r="M12" s="90"/>
      <c r="N12" s="90"/>
      <c r="O12" s="90"/>
      <c r="P12" s="90">
        <v>74224</v>
      </c>
      <c r="Q12" s="75">
        <f>SUM(F12:P12)</f>
        <v>91987</v>
      </c>
      <c r="R12" s="91">
        <f>+E12-Q12</f>
        <v>972</v>
      </c>
    </row>
    <row r="13" spans="1:19" ht="14.5" x14ac:dyDescent="0.35">
      <c r="A13" s="72">
        <v>15</v>
      </c>
      <c r="B13" s="95"/>
      <c r="C13" s="74" t="s">
        <v>37</v>
      </c>
      <c r="D13" s="96">
        <f>+ENERO2021!D14</f>
        <v>0</v>
      </c>
      <c r="E13" s="97">
        <v>518998.00199999998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/>
      <c r="M13" s="96"/>
      <c r="N13" s="96"/>
      <c r="O13" s="96"/>
      <c r="P13" s="96"/>
      <c r="Q13" s="75">
        <f>SUM(F13:P13)</f>
        <v>0</v>
      </c>
      <c r="R13" s="77">
        <f>+E13-Q13</f>
        <v>518998.00199999998</v>
      </c>
    </row>
    <row r="14" spans="1:19" ht="15" thickBot="1" x14ac:dyDescent="0.4">
      <c r="A14" s="98"/>
      <c r="B14" s="99"/>
      <c r="C14" s="100" t="s">
        <v>4</v>
      </c>
      <c r="D14" s="101">
        <f>+D2+D4+D6+D11+D12+D13</f>
        <v>4857673</v>
      </c>
      <c r="E14" s="101">
        <f t="shared" ref="E14:Q14" si="3">+E2+E4+E6+E11+E12+E13</f>
        <v>5274571.0020000003</v>
      </c>
      <c r="F14" s="101">
        <f t="shared" si="3"/>
        <v>348083.76699999999</v>
      </c>
      <c r="G14" s="101">
        <f t="shared" si="3"/>
        <v>421226.05200000003</v>
      </c>
      <c r="H14" s="101">
        <f t="shared" si="3"/>
        <v>538907.00699999998</v>
      </c>
      <c r="I14" s="101">
        <f t="shared" si="3"/>
        <v>344445.84899999999</v>
      </c>
      <c r="J14" s="101">
        <f t="shared" si="3"/>
        <v>371273.94600000005</v>
      </c>
      <c r="K14" s="101">
        <f t="shared" si="3"/>
        <v>565779.45799999998</v>
      </c>
      <c r="L14" s="101">
        <f t="shared" si="3"/>
        <v>483831.54200000002</v>
      </c>
      <c r="M14" s="101">
        <f t="shared" si="3"/>
        <v>285346.33799999999</v>
      </c>
      <c r="N14" s="101">
        <f t="shared" si="3"/>
        <v>97129.395999999993</v>
      </c>
      <c r="O14" s="101">
        <f t="shared" ref="O14" si="4">+O2+O4+O6+O11+O12+O13</f>
        <v>197492.24099999998</v>
      </c>
      <c r="P14" s="101">
        <f t="shared" si="3"/>
        <v>401297.40700000001</v>
      </c>
      <c r="Q14" s="101">
        <f t="shared" si="3"/>
        <v>4054813.003000001</v>
      </c>
      <c r="R14" s="101">
        <f>+R2+R4+R6+R11+R12+R13</f>
        <v>1219757.9989999994</v>
      </c>
    </row>
    <row r="15" spans="1:19" ht="15.5" thickTop="1" thickBot="1" x14ac:dyDescent="0.4">
      <c r="A15" s="152" t="s">
        <v>96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</row>
    <row r="16" spans="1:19" ht="19" customHeight="1" thickTop="1" x14ac:dyDescent="0.35">
      <c r="A16" s="102" t="s">
        <v>0</v>
      </c>
      <c r="B16" s="103" t="s">
        <v>1</v>
      </c>
      <c r="C16" s="104" t="s">
        <v>2</v>
      </c>
      <c r="D16" s="104" t="s">
        <v>16</v>
      </c>
      <c r="E16" s="104" t="s">
        <v>3</v>
      </c>
      <c r="F16" s="105" t="s">
        <v>5</v>
      </c>
      <c r="G16" s="105" t="s">
        <v>40</v>
      </c>
      <c r="H16" s="105" t="s">
        <v>17</v>
      </c>
      <c r="I16" s="105" t="s">
        <v>18</v>
      </c>
      <c r="J16" s="105" t="s">
        <v>23</v>
      </c>
      <c r="K16" s="105" t="s">
        <v>25</v>
      </c>
      <c r="L16" s="105" t="s">
        <v>26</v>
      </c>
      <c r="M16" s="105" t="s">
        <v>27</v>
      </c>
      <c r="N16" s="105" t="s">
        <v>49</v>
      </c>
      <c r="O16" s="105" t="s">
        <v>57</v>
      </c>
      <c r="P16" s="105" t="s">
        <v>58</v>
      </c>
      <c r="Q16" s="105" t="s">
        <v>65</v>
      </c>
      <c r="R16" s="106" t="s">
        <v>15</v>
      </c>
      <c r="S16" s="107" t="s">
        <v>81</v>
      </c>
    </row>
    <row r="17" spans="1:19" ht="14.5" x14ac:dyDescent="0.35">
      <c r="A17" s="72">
        <v>21</v>
      </c>
      <c r="B17" s="108"/>
      <c r="C17" s="74" t="s">
        <v>52</v>
      </c>
      <c r="D17" s="75">
        <f>+ENERO2021!D19</f>
        <v>3573390</v>
      </c>
      <c r="E17" s="75">
        <v>3809427</v>
      </c>
      <c r="F17" s="75">
        <f>+ENERO2021!F19</f>
        <v>248675.761</v>
      </c>
      <c r="G17" s="75">
        <v>248120.367</v>
      </c>
      <c r="H17" s="75">
        <v>426964.80699999997</v>
      </c>
      <c r="I17" s="75">
        <v>250428.533</v>
      </c>
      <c r="J17" s="75">
        <v>251715.283</v>
      </c>
      <c r="K17" s="75">
        <v>424362.05099999998</v>
      </c>
      <c r="L17" s="75">
        <v>244231.62899999999</v>
      </c>
      <c r="M17" s="75">
        <v>242951.348</v>
      </c>
      <c r="N17" s="75">
        <v>427276.065</v>
      </c>
      <c r="O17" s="75">
        <v>251122.573</v>
      </c>
      <c r="P17" s="75">
        <v>256158.07699999999</v>
      </c>
      <c r="Q17" s="109">
        <f t="shared" ref="Q17:Q22" si="5">SUM(F17:P17)</f>
        <v>3272006.4939999999</v>
      </c>
      <c r="R17" s="77">
        <f>+E17-Q17</f>
        <v>537420.50600000005</v>
      </c>
      <c r="S17" s="110">
        <f t="shared" ref="S17:S29" si="6">IFERROR(+Q17/E17,0)</f>
        <v>0.85892353206925864</v>
      </c>
    </row>
    <row r="18" spans="1:19" ht="14.5" x14ac:dyDescent="0.35">
      <c r="A18" s="72">
        <v>22</v>
      </c>
      <c r="B18" s="111"/>
      <c r="C18" s="74" t="s">
        <v>53</v>
      </c>
      <c r="D18" s="75">
        <f>+ENERO2021!D20</f>
        <v>711003</v>
      </c>
      <c r="E18" s="75">
        <v>831228</v>
      </c>
      <c r="F18" s="75">
        <f>+ENERO2021!F20</f>
        <v>3024.1469999999999</v>
      </c>
      <c r="G18" s="75">
        <v>12722.98</v>
      </c>
      <c r="H18" s="75">
        <v>79019.615000000005</v>
      </c>
      <c r="I18" s="75">
        <v>55139.716999999997</v>
      </c>
      <c r="J18" s="75">
        <v>50213.232000000004</v>
      </c>
      <c r="K18" s="75">
        <v>85498.33</v>
      </c>
      <c r="L18" s="75">
        <v>46731.122000000003</v>
      </c>
      <c r="M18" s="75">
        <v>61269.906999999999</v>
      </c>
      <c r="N18" s="75">
        <v>122776.189</v>
      </c>
      <c r="O18" s="75">
        <v>66416.411999999997</v>
      </c>
      <c r="P18" s="75">
        <v>57784.288999999997</v>
      </c>
      <c r="Q18" s="109">
        <f t="shared" si="5"/>
        <v>640595.94000000006</v>
      </c>
      <c r="R18" s="77">
        <f>+E18-Q18</f>
        <v>190632.05999999994</v>
      </c>
      <c r="S18" s="110">
        <f t="shared" si="6"/>
        <v>0.77066212880220597</v>
      </c>
    </row>
    <row r="19" spans="1:19" ht="14.5" x14ac:dyDescent="0.35">
      <c r="A19" s="72">
        <v>23</v>
      </c>
      <c r="B19" s="111"/>
      <c r="C19" s="74" t="s">
        <v>54</v>
      </c>
      <c r="D19" s="75">
        <f>+ENERO2021!D21</f>
        <v>0</v>
      </c>
      <c r="E19" s="75">
        <f>+ENERO2021!E21</f>
        <v>0</v>
      </c>
      <c r="F19" s="75">
        <f>+ENERO2021!F21</f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109">
        <f t="shared" si="5"/>
        <v>0</v>
      </c>
      <c r="R19" s="77">
        <f>+E19-Q19</f>
        <v>0</v>
      </c>
      <c r="S19" s="110">
        <f t="shared" si="6"/>
        <v>0</v>
      </c>
    </row>
    <row r="20" spans="1:19" ht="14.5" x14ac:dyDescent="0.35">
      <c r="A20" s="72">
        <v>24</v>
      </c>
      <c r="B20" s="111"/>
      <c r="C20" s="74" t="s">
        <v>24</v>
      </c>
      <c r="D20" s="75">
        <f>+ENERO2021!D22</f>
        <v>510905</v>
      </c>
      <c r="E20" s="75">
        <f>+ENERO2021!E22</f>
        <v>510905</v>
      </c>
      <c r="F20" s="75">
        <f>+ENERO2021!F22</f>
        <v>31360.901999999998</v>
      </c>
      <c r="G20" s="75">
        <v>26796.173999999999</v>
      </c>
      <c r="H20" s="75">
        <v>27521.216</v>
      </c>
      <c r="I20" s="75">
        <v>27329.986000000001</v>
      </c>
      <c r="J20" s="75">
        <v>27101.806</v>
      </c>
      <c r="K20" s="75">
        <v>27375.469000000001</v>
      </c>
      <c r="L20" s="75">
        <v>29533.613000000001</v>
      </c>
      <c r="M20" s="75">
        <v>30954.557000000001</v>
      </c>
      <c r="N20" s="75">
        <v>36413.163999999997</v>
      </c>
      <c r="O20" s="75">
        <v>31082.598000000002</v>
      </c>
      <c r="P20" s="75">
        <v>34088.303</v>
      </c>
      <c r="Q20" s="109">
        <f t="shared" si="5"/>
        <v>329557.78800000006</v>
      </c>
      <c r="R20" s="77">
        <f>+E20-Q20</f>
        <v>181347.21199999994</v>
      </c>
      <c r="S20" s="110">
        <f t="shared" si="6"/>
        <v>0.6450470987757021</v>
      </c>
    </row>
    <row r="21" spans="1:19" ht="14.5" x14ac:dyDescent="0.35">
      <c r="A21" s="72">
        <v>26</v>
      </c>
      <c r="B21" s="112"/>
      <c r="C21" s="74" t="s">
        <v>55</v>
      </c>
      <c r="D21" s="75">
        <f>+ENERO2021!D23</f>
        <v>0</v>
      </c>
      <c r="E21" s="75">
        <f>+ENERO2021!E23</f>
        <v>0</v>
      </c>
      <c r="F21" s="75">
        <f>+ENERO2021!F23</f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/>
      <c r="M21" s="75"/>
      <c r="N21" s="75"/>
      <c r="O21" s="75"/>
      <c r="P21" s="75"/>
      <c r="Q21" s="109">
        <f t="shared" si="5"/>
        <v>0</v>
      </c>
      <c r="R21" s="77">
        <f>+E21-Q21</f>
        <v>0</v>
      </c>
      <c r="S21" s="110">
        <f t="shared" si="6"/>
        <v>0</v>
      </c>
    </row>
    <row r="22" spans="1:19" ht="14.5" x14ac:dyDescent="0.35">
      <c r="A22" s="72">
        <v>29</v>
      </c>
      <c r="B22" s="113"/>
      <c r="C22" s="74" t="s">
        <v>56</v>
      </c>
      <c r="D22" s="75">
        <f>SUM(D23:D27)</f>
        <v>62375</v>
      </c>
      <c r="E22" s="75">
        <f>SUM(E23:E27)</f>
        <v>124435</v>
      </c>
      <c r="F22" s="75">
        <f t="shared" ref="F22:P22" si="7">SUM(F23:F27)</f>
        <v>0</v>
      </c>
      <c r="G22" s="75">
        <v>2626.6329999999998</v>
      </c>
      <c r="H22" s="75">
        <f t="shared" ref="H22:J22" si="8">SUM(H23:H27)</f>
        <v>0</v>
      </c>
      <c r="I22" s="75">
        <f t="shared" si="8"/>
        <v>0</v>
      </c>
      <c r="J22" s="75">
        <f t="shared" si="8"/>
        <v>0</v>
      </c>
      <c r="K22" s="75">
        <f t="shared" si="7"/>
        <v>29532.837</v>
      </c>
      <c r="L22" s="75">
        <f t="shared" si="7"/>
        <v>660.00099999999998</v>
      </c>
      <c r="M22" s="75">
        <f t="shared" si="7"/>
        <v>4502.8729999999996</v>
      </c>
      <c r="N22" s="75">
        <f t="shared" si="7"/>
        <v>8537.3220000000001</v>
      </c>
      <c r="O22" s="75">
        <f t="shared" ref="O22" si="9">SUM(O23:O27)</f>
        <v>1354.3869999999999</v>
      </c>
      <c r="P22" s="75">
        <f t="shared" si="7"/>
        <v>31410.294000000002</v>
      </c>
      <c r="Q22" s="109">
        <f t="shared" si="5"/>
        <v>78624.347000000009</v>
      </c>
      <c r="R22" s="77">
        <f>SUM(R23:R27)</f>
        <v>45810.652999999998</v>
      </c>
      <c r="S22" s="110">
        <f t="shared" si="6"/>
        <v>0.63185074135090613</v>
      </c>
    </row>
    <row r="23" spans="1:19" ht="14.5" x14ac:dyDescent="0.35">
      <c r="A23" s="72"/>
      <c r="B23" s="114" t="s">
        <v>20</v>
      </c>
      <c r="C23" s="89" t="s">
        <v>41</v>
      </c>
      <c r="D23" s="90">
        <f>+ENERO2021!D25</f>
        <v>0</v>
      </c>
      <c r="E23" s="90">
        <f>+ENERO2021!E25</f>
        <v>0</v>
      </c>
      <c r="F23" s="90">
        <f>+ENERO2021!F25</f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/>
      <c r="M23" s="90"/>
      <c r="N23" s="90"/>
      <c r="O23" s="90"/>
      <c r="P23" s="90"/>
      <c r="Q23" s="115">
        <f t="shared" ref="Q23:Q27" si="10">SUM(F23:P23)</f>
        <v>0</v>
      </c>
      <c r="R23" s="91">
        <f>+E23-Q23</f>
        <v>0</v>
      </c>
      <c r="S23" s="110">
        <f t="shared" si="6"/>
        <v>0</v>
      </c>
    </row>
    <row r="24" spans="1:19" ht="14.5" x14ac:dyDescent="0.35">
      <c r="A24" s="72"/>
      <c r="B24" s="114" t="s">
        <v>42</v>
      </c>
      <c r="C24" s="89" t="s">
        <v>45</v>
      </c>
      <c r="D24" s="90">
        <f>+ENERO2021!D26</f>
        <v>1423</v>
      </c>
      <c r="E24" s="90">
        <f>+ENERO2021!E26+5000</f>
        <v>6423</v>
      </c>
      <c r="F24" s="90">
        <f>+ENERO2021!F26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90">
        <v>1231.0550000000001</v>
      </c>
      <c r="N24" s="90">
        <v>2641.8</v>
      </c>
      <c r="O24" s="90"/>
      <c r="P24" s="90"/>
      <c r="Q24" s="115">
        <f t="shared" si="10"/>
        <v>3872.8550000000005</v>
      </c>
      <c r="R24" s="91">
        <f>+E24-Q24</f>
        <v>2550.1449999999995</v>
      </c>
      <c r="S24" s="110">
        <f t="shared" si="6"/>
        <v>0.60296668223571548</v>
      </c>
    </row>
    <row r="25" spans="1:19" ht="14.5" x14ac:dyDescent="0.35">
      <c r="A25" s="72"/>
      <c r="B25" s="114" t="s">
        <v>43</v>
      </c>
      <c r="C25" s="89" t="s">
        <v>46</v>
      </c>
      <c r="D25" s="90">
        <f>+ENERO2021!D27</f>
        <v>0</v>
      </c>
      <c r="E25" s="90">
        <v>10000</v>
      </c>
      <c r="F25" s="90">
        <f>+ENERO2021!F27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>
        <v>660.00099999999998</v>
      </c>
      <c r="M25" s="90">
        <v>2083.154</v>
      </c>
      <c r="N25" s="90"/>
      <c r="O25" s="90"/>
      <c r="P25" s="90"/>
      <c r="Q25" s="115">
        <f t="shared" si="10"/>
        <v>2743.1549999999997</v>
      </c>
      <c r="R25" s="91">
        <f>+E25-Q25</f>
        <v>7256.8450000000003</v>
      </c>
      <c r="S25" s="110">
        <f t="shared" si="6"/>
        <v>0.27431549999999999</v>
      </c>
    </row>
    <row r="26" spans="1:19" ht="14.5" x14ac:dyDescent="0.35">
      <c r="A26" s="72"/>
      <c r="B26" s="114" t="s">
        <v>21</v>
      </c>
      <c r="C26" s="93" t="s">
        <v>47</v>
      </c>
      <c r="D26" s="90">
        <f>+ENERO2021!D28</f>
        <v>1340</v>
      </c>
      <c r="E26" s="90">
        <v>63340</v>
      </c>
      <c r="F26" s="90">
        <f>+ENERO2021!F28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/>
      <c r="M26" s="90"/>
      <c r="N26" s="90">
        <v>2218.0650000000001</v>
      </c>
      <c r="O26" s="90">
        <v>1354.3869999999999</v>
      </c>
      <c r="P26" s="90">
        <v>31410.294000000002</v>
      </c>
      <c r="Q26" s="115">
        <f t="shared" si="10"/>
        <v>34982.745999999999</v>
      </c>
      <c r="R26" s="91">
        <f>+E26-Q26</f>
        <v>28357.254000000001</v>
      </c>
      <c r="S26" s="110">
        <f t="shared" si="6"/>
        <v>0.55230101041995583</v>
      </c>
    </row>
    <row r="27" spans="1:19" ht="14.5" x14ac:dyDescent="0.35">
      <c r="A27" s="72"/>
      <c r="B27" s="114" t="s">
        <v>44</v>
      </c>
      <c r="C27" s="93" t="s">
        <v>48</v>
      </c>
      <c r="D27" s="90">
        <f>+ENERO2021!D29</f>
        <v>59612</v>
      </c>
      <c r="E27" s="90">
        <v>44672</v>
      </c>
      <c r="F27" s="90">
        <f>+ENERO2021!F29</f>
        <v>0</v>
      </c>
      <c r="G27" s="90">
        <v>2626.6329999999998</v>
      </c>
      <c r="H27" s="90">
        <v>0</v>
      </c>
      <c r="I27" s="90">
        <v>0</v>
      </c>
      <c r="J27" s="90">
        <v>0</v>
      </c>
      <c r="K27" s="90">
        <v>29532.837</v>
      </c>
      <c r="L27" s="90"/>
      <c r="M27" s="90">
        <v>1188.664</v>
      </c>
      <c r="N27" s="90">
        <v>3677.4569999999999</v>
      </c>
      <c r="O27" s="90"/>
      <c r="P27" s="90"/>
      <c r="Q27" s="115">
        <f t="shared" si="10"/>
        <v>37025.591</v>
      </c>
      <c r="R27" s="91">
        <f>+E27-Q27</f>
        <v>7646.4089999999997</v>
      </c>
      <c r="S27" s="110">
        <f t="shared" si="6"/>
        <v>0.8288321767550143</v>
      </c>
    </row>
    <row r="28" spans="1:19" ht="14.5" x14ac:dyDescent="0.35">
      <c r="A28" s="92"/>
      <c r="B28" s="114"/>
      <c r="C28" s="93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116"/>
      <c r="R28" s="91"/>
      <c r="S28" s="110">
        <f t="shared" si="6"/>
        <v>0</v>
      </c>
    </row>
    <row r="29" spans="1:19" ht="14.5" x14ac:dyDescent="0.35">
      <c r="A29" s="72">
        <v>34</v>
      </c>
      <c r="B29" s="114"/>
      <c r="C29" s="74" t="s">
        <v>22</v>
      </c>
      <c r="D29" s="96">
        <f>+ENERO2021!D31</f>
        <v>0</v>
      </c>
      <c r="E29" s="96">
        <v>179135.00099999999</v>
      </c>
      <c r="F29" s="96">
        <v>0</v>
      </c>
      <c r="G29" s="96">
        <v>179135.307</v>
      </c>
      <c r="H29" s="96">
        <v>0</v>
      </c>
      <c r="I29" s="96">
        <v>0</v>
      </c>
      <c r="J29" s="96">
        <v>0</v>
      </c>
      <c r="K29" s="96">
        <v>0</v>
      </c>
      <c r="L29" s="96"/>
      <c r="M29" s="96"/>
      <c r="N29" s="96"/>
      <c r="O29" s="96"/>
      <c r="P29" s="96"/>
      <c r="Q29" s="109">
        <f>SUM(F29:P29)</f>
        <v>179135.307</v>
      </c>
      <c r="R29" s="77">
        <f>+E29-Q29</f>
        <v>-0.3060000000114087</v>
      </c>
      <c r="S29" s="110">
        <f t="shared" si="6"/>
        <v>1.0000017082088832</v>
      </c>
    </row>
    <row r="30" spans="1:19" ht="14.5" x14ac:dyDescent="0.35">
      <c r="A30" s="72"/>
      <c r="B30" s="114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116"/>
      <c r="R30" s="91"/>
      <c r="S30" s="117"/>
    </row>
    <row r="31" spans="1:19" ht="14.5" x14ac:dyDescent="0.35">
      <c r="A31" s="72">
        <v>35</v>
      </c>
      <c r="B31" s="114"/>
      <c r="C31" s="74" t="s">
        <v>14</v>
      </c>
      <c r="D31" s="96">
        <v>0</v>
      </c>
      <c r="E31" s="96">
        <f>+D31</f>
        <v>0</v>
      </c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109">
        <f>SUM(F31:P31)</f>
        <v>0</v>
      </c>
      <c r="R31" s="91">
        <v>0</v>
      </c>
      <c r="S31" s="117"/>
    </row>
    <row r="32" spans="1:19" ht="15" thickBot="1" x14ac:dyDescent="0.4">
      <c r="A32" s="98"/>
      <c r="B32" s="118"/>
      <c r="C32" s="119" t="s">
        <v>4</v>
      </c>
      <c r="D32" s="120">
        <f>+D31+D29+D22+D21+D20+D19+D18+D17</f>
        <v>4857673</v>
      </c>
      <c r="E32" s="120">
        <f>+E31+E29+E22+E21+E20+E19+E18+E17</f>
        <v>5455130.0010000002</v>
      </c>
      <c r="F32" s="120">
        <f t="shared" ref="F32:P32" si="11">+F31+F29+F22+F21+F20+F19+F18+F17</f>
        <v>283060.81</v>
      </c>
      <c r="G32" s="120">
        <f t="shared" si="11"/>
        <v>469401.46100000001</v>
      </c>
      <c r="H32" s="120">
        <f t="shared" si="11"/>
        <v>533505.63800000004</v>
      </c>
      <c r="I32" s="120">
        <f t="shared" si="11"/>
        <v>332898.23599999998</v>
      </c>
      <c r="J32" s="120">
        <f t="shared" si="11"/>
        <v>329030.321</v>
      </c>
      <c r="K32" s="120">
        <f t="shared" si="11"/>
        <v>566768.68699999992</v>
      </c>
      <c r="L32" s="120">
        <f t="shared" si="11"/>
        <v>321156.36499999999</v>
      </c>
      <c r="M32" s="120">
        <f t="shared" si="11"/>
        <v>339678.685</v>
      </c>
      <c r="N32" s="120">
        <f t="shared" si="11"/>
        <v>595002.74</v>
      </c>
      <c r="O32" s="120">
        <f t="shared" ref="O32" si="12">+O31+O29+O22+O21+O20+O19+O18+O17</f>
        <v>349975.97</v>
      </c>
      <c r="P32" s="120">
        <f t="shared" si="11"/>
        <v>379440.96299999999</v>
      </c>
      <c r="Q32" s="120">
        <f>+Q31+Q29+Q22+Q21+Q20+Q19+Q18+Q17</f>
        <v>4499919.8760000002</v>
      </c>
      <c r="R32" s="121">
        <f>+R31+R29+R22+R21+R20+R19+R18+R17</f>
        <v>955210.12499999988</v>
      </c>
      <c r="S32" s="122">
        <f>+Q32/E32</f>
        <v>0.82489690899668811</v>
      </c>
    </row>
    <row r="33" spans="1:19" ht="15" thickTop="1" x14ac:dyDescent="0.35">
      <c r="A33" s="123"/>
      <c r="B33" s="124"/>
      <c r="C33" s="125" t="s">
        <v>91</v>
      </c>
      <c r="D33" s="126"/>
      <c r="E33" s="126"/>
      <c r="F33" s="127">
        <f>+F32/$E$32</f>
        <v>5.1888921061113313E-2</v>
      </c>
      <c r="G33" s="127">
        <f t="shared" ref="G33:P33" si="13">+G32/$E$32</f>
        <v>8.604771305430893E-2</v>
      </c>
      <c r="H33" s="127">
        <f t="shared" si="13"/>
        <v>9.779888616810252E-2</v>
      </c>
      <c r="I33" s="127">
        <f t="shared" si="13"/>
        <v>6.1024803430711122E-2</v>
      </c>
      <c r="J33" s="127">
        <f t="shared" si="13"/>
        <v>6.0315761666483517E-2</v>
      </c>
      <c r="K33" s="127">
        <f t="shared" si="13"/>
        <v>0.103896458360498</v>
      </c>
      <c r="L33" s="127">
        <f t="shared" si="13"/>
        <v>5.8872357751534356E-2</v>
      </c>
      <c r="M33" s="127">
        <f t="shared" si="13"/>
        <v>6.2267752544436561E-2</v>
      </c>
      <c r="N33" s="127">
        <f t="shared" si="13"/>
        <v>0.10907214674827691</v>
      </c>
      <c r="O33" s="127">
        <f t="shared" ref="O33" si="14">+O32/$E$32</f>
        <v>6.4155385836056081E-2</v>
      </c>
      <c r="P33" s="127">
        <f t="shared" si="13"/>
        <v>6.9556722375166719E-2</v>
      </c>
      <c r="Q33" s="127">
        <f>+Q32/E32</f>
        <v>0.82489690899668811</v>
      </c>
      <c r="R33" s="127">
        <f>+R32/E32</f>
        <v>0.17510309100331189</v>
      </c>
      <c r="S33" s="128"/>
    </row>
    <row r="34" spans="1:19" ht="27" customHeight="1" x14ac:dyDescent="0.35">
      <c r="A34" s="129"/>
      <c r="B34" s="129"/>
      <c r="C34" s="130"/>
      <c r="D34" s="131" t="s">
        <v>7</v>
      </c>
      <c r="E34" s="132"/>
      <c r="F34" s="132"/>
      <c r="G34" s="132"/>
      <c r="H34" s="132"/>
      <c r="I34" s="132"/>
      <c r="J34" s="132"/>
      <c r="K34" s="132"/>
      <c r="L34" s="133"/>
      <c r="M34" s="133"/>
      <c r="N34" s="133"/>
      <c r="O34" s="133"/>
      <c r="P34" s="133"/>
      <c r="Q34" s="134">
        <f>+Q32</f>
        <v>4499919.8760000002</v>
      </c>
      <c r="R34" s="134">
        <f>+R32</f>
        <v>955210.12499999988</v>
      </c>
      <c r="S34" s="135"/>
    </row>
    <row r="35" spans="1:19" ht="34" customHeight="1" x14ac:dyDescent="0.5">
      <c r="A35" s="129"/>
      <c r="B35" s="129"/>
      <c r="C35" s="136"/>
      <c r="D35" s="137" t="s">
        <v>9</v>
      </c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9"/>
      <c r="Q35" s="140">
        <f>+Q34/E32</f>
        <v>0.82489690899668811</v>
      </c>
      <c r="R35" s="141">
        <f>+R34/E32</f>
        <v>0.17510309100331189</v>
      </c>
      <c r="S35" s="142"/>
    </row>
    <row r="36" spans="1:19" ht="14.5" x14ac:dyDescent="0.35">
      <c r="A36" s="129"/>
      <c r="B36" s="129"/>
      <c r="C36" s="143"/>
      <c r="D36" s="143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44">
        <f>(3/12)</f>
        <v>0.25</v>
      </c>
      <c r="R36" s="144">
        <f>+(9/12)</f>
        <v>0.75</v>
      </c>
    </row>
    <row r="37" spans="1:19" ht="14.5" hidden="1" x14ac:dyDescent="0.35">
      <c r="A37" s="129"/>
      <c r="B37" s="129"/>
      <c r="C37" s="129"/>
      <c r="D37" s="129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45">
        <f>+Q35-Q36</f>
        <v>0.57489690899668811</v>
      </c>
      <c r="R37" s="146"/>
    </row>
    <row r="38" spans="1:19" ht="14.5" x14ac:dyDescent="0.35">
      <c r="A38" s="129"/>
      <c r="B38" s="129"/>
      <c r="C38" s="130"/>
      <c r="D38" s="130"/>
      <c r="E38" s="136">
        <f>+E14-E32</f>
        <v>-180558.99899999984</v>
      </c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47">
        <f>+IF(+Q37&gt;0,+Q37,0)</f>
        <v>0.57489690899668811</v>
      </c>
      <c r="R38" s="148"/>
      <c r="S38" s="135" t="s">
        <v>6</v>
      </c>
    </row>
    <row r="39" spans="1:19" ht="14.5" x14ac:dyDescent="0.35">
      <c r="A39" s="129"/>
      <c r="B39" s="129"/>
      <c r="C39" s="129"/>
      <c r="D39" s="149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50">
        <f>+IF(+Q37&gt;0,0,-Q37)</f>
        <v>0</v>
      </c>
      <c r="R39" s="148"/>
      <c r="S39" s="135" t="s">
        <v>6</v>
      </c>
    </row>
  </sheetData>
  <mergeCells count="4">
    <mergeCell ref="A15:S15"/>
    <mergeCell ref="D34:K34"/>
    <mergeCell ref="D35:P35"/>
    <mergeCell ref="C36:D36"/>
  </mergeCells>
  <phoneticPr fontId="13" type="noConversion"/>
  <printOptions horizontalCentered="1"/>
  <pageMargins left="0.15748031496062992" right="0.19685039370078741" top="0.51181102362204722" bottom="0.35433070866141736" header="0.15748031496062992" footer="0.15748031496062992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C29EA-64D1-43F2-9890-290E122B0830}">
  <sheetPr>
    <tabColor theme="0"/>
    <pageSetUpPr fitToPage="1"/>
  </sheetPr>
  <dimension ref="A1:R41"/>
  <sheetViews>
    <sheetView showGridLines="0" topLeftCell="A25" zoomScale="75" zoomScaleNormal="75" zoomScaleSheetLayoutView="75" workbookViewId="0">
      <selection activeCell="E28" sqref="E28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10" width="13.26953125" style="129" customWidth="1"/>
    <col min="11" max="13" width="11.54296875" style="129" customWidth="1"/>
    <col min="14" max="14" width="14.26953125" style="129" customWidth="1"/>
    <col min="15" max="15" width="15.1796875" style="129" customWidth="1"/>
    <col min="16" max="16" width="17.54296875" style="129" customWidth="1"/>
    <col min="17" max="17" width="22.453125" style="129" bestFit="1" customWidth="1"/>
    <col min="18" max="18" width="19.26953125" style="129" customWidth="1"/>
    <col min="19" max="16384" width="10.90625" style="129"/>
  </cols>
  <sheetData>
    <row r="1" spans="1:18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18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27</v>
      </c>
      <c r="N2" s="69" t="s">
        <v>49</v>
      </c>
      <c r="O2" s="69" t="s">
        <v>57</v>
      </c>
      <c r="P2" s="69" t="s">
        <v>38</v>
      </c>
      <c r="Q2" s="70" t="s">
        <v>39</v>
      </c>
    </row>
    <row r="3" spans="1:18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4593699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v>535193.55299999996</v>
      </c>
      <c r="L3" s="75">
        <v>475798.98700000002</v>
      </c>
      <c r="M3" s="75">
        <v>283385.495</v>
      </c>
      <c r="N3" s="75">
        <v>80533.273000000001</v>
      </c>
      <c r="O3" s="75">
        <v>195556.03899999999</v>
      </c>
      <c r="P3" s="75">
        <f>SUM(F3:O3)</f>
        <v>3566072.7470000004</v>
      </c>
      <c r="Q3" s="77">
        <f>+E3-P3</f>
        <v>1027626.2529999996</v>
      </c>
    </row>
    <row r="4" spans="1:18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77"/>
    </row>
    <row r="5" spans="1:18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v>1945.0889999999999</v>
      </c>
      <c r="L5" s="75">
        <v>2854.212</v>
      </c>
      <c r="M5" s="75">
        <v>1960.8430000000001</v>
      </c>
      <c r="N5" s="75">
        <v>2507.6619999999998</v>
      </c>
      <c r="O5" s="75">
        <v>1936.202</v>
      </c>
      <c r="P5" s="75">
        <f>SUM(F5:O5)</f>
        <v>24309.735000000004</v>
      </c>
      <c r="Q5" s="77">
        <f>+E5-P5</f>
        <v>7156.2649999999958</v>
      </c>
    </row>
    <row r="6" spans="1:18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86"/>
    </row>
    <row r="7" spans="1:18" x14ac:dyDescent="0.35">
      <c r="A7" s="72">
        <v>8</v>
      </c>
      <c r="B7" s="87"/>
      <c r="C7" s="74" t="s">
        <v>36</v>
      </c>
      <c r="D7" s="75">
        <f t="shared" ref="D7:O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J7" si="1">+H8+H10+H9</f>
        <v>5056.1859999999997</v>
      </c>
      <c r="I7" s="75">
        <f t="shared" si="1"/>
        <v>0</v>
      </c>
      <c r="J7" s="75">
        <f t="shared" si="1"/>
        <v>8329.3080000000009</v>
      </c>
      <c r="K7" s="75">
        <f t="shared" si="0"/>
        <v>12717.816000000001</v>
      </c>
      <c r="L7" s="75">
        <f t="shared" si="0"/>
        <v>5178.3429999999998</v>
      </c>
      <c r="M7" s="75">
        <f t="shared" si="0"/>
        <v>0</v>
      </c>
      <c r="N7" s="75">
        <f t="shared" ref="N7" si="2">+N8+N10+N9</f>
        <v>14088.460999999999</v>
      </c>
      <c r="O7" s="75">
        <f t="shared" si="0"/>
        <v>0</v>
      </c>
      <c r="P7" s="75">
        <f>SUM(F7:O7)</f>
        <v>45370.114000000001</v>
      </c>
      <c r="Q7" s="77">
        <f>SUM(Q8:Q10)</f>
        <v>-7931.1140000000014</v>
      </c>
    </row>
    <row r="8" spans="1:18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v>12717.816000000001</v>
      </c>
      <c r="L8" s="90">
        <v>5178.3429999999998</v>
      </c>
      <c r="M8" s="90"/>
      <c r="N8" s="90">
        <v>14088.460999999999</v>
      </c>
      <c r="O8" s="90">
        <v>0</v>
      </c>
      <c r="P8" s="90">
        <f>SUM(F8:O8)</f>
        <v>45370.114000000001</v>
      </c>
      <c r="Q8" s="91">
        <f>+E8-P8</f>
        <v>-7931.1140000000014</v>
      </c>
    </row>
    <row r="9" spans="1:18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/>
      <c r="N9" s="90"/>
      <c r="O9" s="90"/>
      <c r="P9" s="90">
        <f>SUM(F9:K9)</f>
        <v>0</v>
      </c>
      <c r="Q9" s="91"/>
    </row>
    <row r="10" spans="1:18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/>
      <c r="M10" s="90"/>
      <c r="N10" s="90"/>
      <c r="O10" s="90"/>
      <c r="P10" s="90">
        <f>SUM(F10:K10)</f>
        <v>0</v>
      </c>
      <c r="Q10" s="91">
        <f>+E10-P10</f>
        <v>0</v>
      </c>
    </row>
    <row r="11" spans="1:18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3"/>
      <c r="Q11" s="91"/>
    </row>
    <row r="12" spans="1:18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75">
        <f>SUM(F12:O12)</f>
        <v>0</v>
      </c>
      <c r="Q12" s="91">
        <f>+E12-P12</f>
        <v>10</v>
      </c>
    </row>
    <row r="13" spans="1:18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0"/>
      <c r="K13" s="90">
        <v>15923</v>
      </c>
      <c r="L13" s="90"/>
      <c r="M13" s="90"/>
      <c r="N13" s="90"/>
      <c r="O13" s="90"/>
      <c r="P13" s="75">
        <f>SUM(F13:O13)</f>
        <v>17763</v>
      </c>
      <c r="Q13" s="91"/>
    </row>
    <row r="14" spans="1:18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518998.00199999998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/>
      <c r="M14" s="96"/>
      <c r="N14" s="96"/>
      <c r="O14" s="96"/>
      <c r="P14" s="75">
        <f>SUM(F14:O14)</f>
        <v>0</v>
      </c>
      <c r="Q14" s="77">
        <f>+E14-P14</f>
        <v>518998.00199999998</v>
      </c>
    </row>
    <row r="15" spans="1:18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Q15" si="3">+E3+E5+E7+E12+E13+E14</f>
        <v>5274571.0020000003</v>
      </c>
      <c r="F15" s="101">
        <f t="shared" si="3"/>
        <v>348083.76699999999</v>
      </c>
      <c r="G15" s="101">
        <f t="shared" si="3"/>
        <v>421226.05200000003</v>
      </c>
      <c r="H15" s="101">
        <f t="shared" si="3"/>
        <v>538907.00699999998</v>
      </c>
      <c r="I15" s="101">
        <f t="shared" si="3"/>
        <v>344445.84899999999</v>
      </c>
      <c r="J15" s="101">
        <f t="shared" si="3"/>
        <v>371273.94600000005</v>
      </c>
      <c r="K15" s="101">
        <f t="shared" si="3"/>
        <v>565779.45799999998</v>
      </c>
      <c r="L15" s="101">
        <f t="shared" si="3"/>
        <v>483831.54200000002</v>
      </c>
      <c r="M15" s="101">
        <f t="shared" si="3"/>
        <v>285346.33799999999</v>
      </c>
      <c r="N15" s="101">
        <f t="shared" ref="N15" si="4">+N3+N5+N7+N12+N13+N14</f>
        <v>97129.395999999993</v>
      </c>
      <c r="O15" s="101">
        <f t="shared" si="3"/>
        <v>197492.24099999998</v>
      </c>
      <c r="P15" s="101">
        <f t="shared" si="3"/>
        <v>3653515.5960000004</v>
      </c>
      <c r="Q15" s="101">
        <f t="shared" si="3"/>
        <v>1545859.4059999995</v>
      </c>
    </row>
    <row r="16" spans="1:18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</row>
    <row r="17" spans="1:18" ht="29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25</v>
      </c>
      <c r="L17" s="105" t="s">
        <v>26</v>
      </c>
      <c r="M17" s="105" t="s">
        <v>27</v>
      </c>
      <c r="N17" s="105" t="s">
        <v>49</v>
      </c>
      <c r="O17" s="105" t="s">
        <v>57</v>
      </c>
      <c r="P17" s="105" t="s">
        <v>65</v>
      </c>
      <c r="Q17" s="106" t="s">
        <v>15</v>
      </c>
      <c r="R17" s="107" t="s">
        <v>81</v>
      </c>
    </row>
    <row r="18" spans="1:18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v>3809427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75">
        <v>424362.05099999998</v>
      </c>
      <c r="L18" s="75">
        <v>244231.62899999999</v>
      </c>
      <c r="M18" s="75">
        <v>242951.348</v>
      </c>
      <c r="N18" s="75">
        <v>427276.065</v>
      </c>
      <c r="O18" s="75">
        <v>251122.573</v>
      </c>
      <c r="P18" s="109">
        <f t="shared" ref="P18:P23" si="5">SUM(F18:O18)</f>
        <v>3015848.4169999999</v>
      </c>
      <c r="Q18" s="77">
        <f>+E18-P18</f>
        <v>793578.5830000001</v>
      </c>
      <c r="R18" s="110">
        <f t="shared" ref="R18:R30" si="6">IFERROR(+P18/E18,0)</f>
        <v>0.79168032803883626</v>
      </c>
    </row>
    <row r="19" spans="1:18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831228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75">
        <v>85498.33</v>
      </c>
      <c r="L19" s="75">
        <v>46731.122000000003</v>
      </c>
      <c r="M19" s="75">
        <v>61269.906999999999</v>
      </c>
      <c r="N19" s="75">
        <v>122776.189</v>
      </c>
      <c r="O19" s="75">
        <v>66416.411999999997</v>
      </c>
      <c r="P19" s="109">
        <f t="shared" si="5"/>
        <v>582811.65100000007</v>
      </c>
      <c r="Q19" s="77">
        <f>+E19-P19</f>
        <v>248416.34899999993</v>
      </c>
      <c r="R19" s="110">
        <f t="shared" si="6"/>
        <v>0.70114535482442852</v>
      </c>
    </row>
    <row r="20" spans="1:18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109">
        <f t="shared" si="5"/>
        <v>0</v>
      </c>
      <c r="Q20" s="77">
        <f>+E20-P20</f>
        <v>0</v>
      </c>
      <c r="R20" s="110">
        <f t="shared" si="6"/>
        <v>0</v>
      </c>
    </row>
    <row r="21" spans="1:18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75">
        <v>27375.469000000001</v>
      </c>
      <c r="L21" s="75">
        <v>29533.613000000001</v>
      </c>
      <c r="M21" s="75">
        <v>30954.557000000001</v>
      </c>
      <c r="N21" s="75">
        <v>36413.163999999997</v>
      </c>
      <c r="O21" s="75">
        <v>31082.598000000002</v>
      </c>
      <c r="P21" s="109">
        <f t="shared" si="5"/>
        <v>295469.48500000004</v>
      </c>
      <c r="Q21" s="77">
        <f>+E21-P21</f>
        <v>215435.51499999996</v>
      </c>
      <c r="R21" s="110">
        <f t="shared" si="6"/>
        <v>0.57832568677151341</v>
      </c>
    </row>
    <row r="22" spans="1:18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/>
      <c r="M22" s="75"/>
      <c r="N22" s="75"/>
      <c r="O22" s="75"/>
      <c r="P22" s="109">
        <f t="shared" si="5"/>
        <v>0</v>
      </c>
      <c r="Q22" s="77">
        <f>+E22-P22</f>
        <v>0</v>
      </c>
      <c r="R22" s="110">
        <f t="shared" si="6"/>
        <v>0</v>
      </c>
    </row>
    <row r="23" spans="1:18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O23" si="7">SUM(F24:F28)</f>
        <v>0</v>
      </c>
      <c r="G23" s="75">
        <v>2626.6329999999998</v>
      </c>
      <c r="H23" s="75">
        <f t="shared" ref="H23:J23" si="8">SUM(H24:H28)</f>
        <v>0</v>
      </c>
      <c r="I23" s="75">
        <f t="shared" si="8"/>
        <v>0</v>
      </c>
      <c r="J23" s="75">
        <f t="shared" si="8"/>
        <v>0</v>
      </c>
      <c r="K23" s="75">
        <f t="shared" si="7"/>
        <v>29532.837</v>
      </c>
      <c r="L23" s="75">
        <f t="shared" si="7"/>
        <v>660.00099999999998</v>
      </c>
      <c r="M23" s="75">
        <f t="shared" si="7"/>
        <v>4502.8729999999996</v>
      </c>
      <c r="N23" s="75">
        <f t="shared" ref="N23" si="9">SUM(N24:N28)</f>
        <v>8537.3220000000001</v>
      </c>
      <c r="O23" s="75">
        <f t="shared" si="7"/>
        <v>1354.3869999999999</v>
      </c>
      <c r="P23" s="109">
        <f t="shared" si="5"/>
        <v>47214.053</v>
      </c>
      <c r="Q23" s="77">
        <f>SUM(Q24:Q28)</f>
        <v>77220.947</v>
      </c>
      <c r="R23" s="110">
        <f t="shared" si="6"/>
        <v>0.37942743601076867</v>
      </c>
    </row>
    <row r="24" spans="1:18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90"/>
      <c r="N24" s="90"/>
      <c r="O24" s="90"/>
      <c r="P24" s="115">
        <f t="shared" ref="P24:P28" si="10">SUM(F24:O24)</f>
        <v>0</v>
      </c>
      <c r="Q24" s="91">
        <f>+E24-P24</f>
        <v>0</v>
      </c>
      <c r="R24" s="110">
        <f t="shared" si="6"/>
        <v>0</v>
      </c>
    </row>
    <row r="25" spans="1:18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/>
      <c r="M25" s="90">
        <v>1231.0550000000001</v>
      </c>
      <c r="N25" s="90">
        <v>2641.8</v>
      </c>
      <c r="O25" s="90"/>
      <c r="P25" s="115">
        <f t="shared" si="10"/>
        <v>3872.8550000000005</v>
      </c>
      <c r="Q25" s="91">
        <f>+E25-P25</f>
        <v>2550.1449999999995</v>
      </c>
      <c r="R25" s="110">
        <f t="shared" si="6"/>
        <v>0.60296668223571548</v>
      </c>
    </row>
    <row r="26" spans="1:18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660.00099999999998</v>
      </c>
      <c r="M26" s="90">
        <v>2083.154</v>
      </c>
      <c r="N26" s="90"/>
      <c r="O26" s="90"/>
      <c r="P26" s="115">
        <f t="shared" si="10"/>
        <v>2743.1549999999997</v>
      </c>
      <c r="Q26" s="91">
        <f>+E26-P26</f>
        <v>7256.8450000000003</v>
      </c>
      <c r="R26" s="110">
        <f t="shared" si="6"/>
        <v>0.27431549999999999</v>
      </c>
    </row>
    <row r="27" spans="1:18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v>63340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/>
      <c r="M27" s="90"/>
      <c r="N27" s="90">
        <v>2218.0650000000001</v>
      </c>
      <c r="O27" s="90">
        <v>1354.3869999999999</v>
      </c>
      <c r="P27" s="115">
        <f t="shared" si="10"/>
        <v>3572.4520000000002</v>
      </c>
      <c r="Q27" s="91">
        <f>+E27-P27</f>
        <v>59767.548000000003</v>
      </c>
      <c r="R27" s="110">
        <f t="shared" si="6"/>
        <v>5.6401199873697509E-2</v>
      </c>
    </row>
    <row r="28" spans="1:18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v>44672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90">
        <v>29532.837</v>
      </c>
      <c r="L28" s="90"/>
      <c r="M28" s="90">
        <v>1188.664</v>
      </c>
      <c r="N28" s="90">
        <v>3677.4569999999999</v>
      </c>
      <c r="O28" s="90"/>
      <c r="P28" s="115">
        <f t="shared" si="10"/>
        <v>37025.591</v>
      </c>
      <c r="Q28" s="91">
        <f>+E28-P28</f>
        <v>7646.4089999999997</v>
      </c>
      <c r="R28" s="110">
        <f t="shared" si="6"/>
        <v>0.8288321767550143</v>
      </c>
    </row>
    <row r="29" spans="1:18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116"/>
      <c r="Q29" s="91"/>
      <c r="R29" s="110">
        <f t="shared" si="6"/>
        <v>0</v>
      </c>
    </row>
    <row r="30" spans="1:18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v>179135.00099999999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96">
        <v>0</v>
      </c>
      <c r="L30" s="96"/>
      <c r="M30" s="96"/>
      <c r="N30" s="96"/>
      <c r="O30" s="96"/>
      <c r="P30" s="109">
        <f>SUM(F30:O30)</f>
        <v>179135.307</v>
      </c>
      <c r="Q30" s="77">
        <f>+E30-P30</f>
        <v>-0.3060000000114087</v>
      </c>
      <c r="R30" s="110">
        <f t="shared" si="6"/>
        <v>1.0000017082088832</v>
      </c>
    </row>
    <row r="31" spans="1:18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116"/>
      <c r="Q31" s="91"/>
      <c r="R31" s="117"/>
    </row>
    <row r="32" spans="1:18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09">
        <f>SUM(F32:O32)</f>
        <v>0</v>
      </c>
      <c r="Q32" s="91">
        <v>0</v>
      </c>
      <c r="R32" s="117"/>
    </row>
    <row r="33" spans="1:18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5455130.0010000002</v>
      </c>
      <c r="F33" s="120">
        <f t="shared" ref="F33:O33" si="11">+F32+F30+F23+F22+F21+F20+F19+F18</f>
        <v>283060.81</v>
      </c>
      <c r="G33" s="120">
        <f t="shared" si="11"/>
        <v>469401.46100000001</v>
      </c>
      <c r="H33" s="120">
        <f t="shared" si="11"/>
        <v>533505.63800000004</v>
      </c>
      <c r="I33" s="120">
        <f t="shared" si="11"/>
        <v>332898.23599999998</v>
      </c>
      <c r="J33" s="120">
        <f t="shared" si="11"/>
        <v>329030.321</v>
      </c>
      <c r="K33" s="120">
        <f t="shared" si="11"/>
        <v>566768.68699999992</v>
      </c>
      <c r="L33" s="120">
        <f t="shared" si="11"/>
        <v>321156.36499999999</v>
      </c>
      <c r="M33" s="120">
        <f t="shared" si="11"/>
        <v>339678.685</v>
      </c>
      <c r="N33" s="120">
        <f t="shared" ref="N33" si="12">+N32+N30+N23+N22+N21+N20+N19+N18</f>
        <v>595002.74</v>
      </c>
      <c r="O33" s="120">
        <f t="shared" si="11"/>
        <v>349975.97</v>
      </c>
      <c r="P33" s="120">
        <f>+P32+P30+P23+P22+P21+P20+P19+P18</f>
        <v>4120478.9129999997</v>
      </c>
      <c r="Q33" s="121">
        <f>+Q32+Q30+Q23+Q22+Q21+Q20+Q19+Q18</f>
        <v>1334651.088</v>
      </c>
      <c r="R33" s="122">
        <f>+P33/E33</f>
        <v>0.75534018662152125</v>
      </c>
    </row>
    <row r="34" spans="1:18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5.1888921061113313E-2</v>
      </c>
      <c r="G34" s="127">
        <f t="shared" ref="G34:O34" si="13">+G33/$E$33</f>
        <v>8.604771305430893E-2</v>
      </c>
      <c r="H34" s="127">
        <f t="shared" si="13"/>
        <v>9.779888616810252E-2</v>
      </c>
      <c r="I34" s="127">
        <f t="shared" si="13"/>
        <v>6.1024803430711122E-2</v>
      </c>
      <c r="J34" s="127">
        <f t="shared" si="13"/>
        <v>6.0315761666483517E-2</v>
      </c>
      <c r="K34" s="127">
        <f t="shared" si="13"/>
        <v>0.103896458360498</v>
      </c>
      <c r="L34" s="127">
        <f t="shared" si="13"/>
        <v>5.8872357751534356E-2</v>
      </c>
      <c r="M34" s="127">
        <f t="shared" si="13"/>
        <v>6.2267752544436561E-2</v>
      </c>
      <c r="N34" s="127">
        <f t="shared" ref="N34" si="14">+N33/$E$33</f>
        <v>0.10907214674827691</v>
      </c>
      <c r="O34" s="127">
        <f t="shared" si="13"/>
        <v>6.4155385836056081E-2</v>
      </c>
      <c r="P34" s="127">
        <f>+P33/E33</f>
        <v>0.75534018662152125</v>
      </c>
      <c r="Q34" s="127">
        <f>+Q33/E33</f>
        <v>0.24465981337847864</v>
      </c>
      <c r="R34" s="128"/>
    </row>
    <row r="35" spans="1:18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3"/>
      <c r="M35" s="133"/>
      <c r="N35" s="133"/>
      <c r="O35" s="133"/>
      <c r="P35" s="134">
        <f>+P33</f>
        <v>4120478.9129999997</v>
      </c>
      <c r="Q35" s="134">
        <f>+Q33</f>
        <v>1334651.088</v>
      </c>
      <c r="R35" s="136"/>
    </row>
    <row r="36" spans="1:18" ht="34" customHeight="1" x14ac:dyDescent="0.35">
      <c r="C36" s="136"/>
      <c r="D36" s="137" t="s">
        <v>9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9"/>
      <c r="P36" s="127">
        <f>+P35/E33</f>
        <v>0.75534018662152125</v>
      </c>
      <c r="Q36" s="141">
        <f>+Q35/E33</f>
        <v>0.24465981337847864</v>
      </c>
      <c r="R36" s="146"/>
    </row>
    <row r="37" spans="1:18" x14ac:dyDescent="0.35">
      <c r="C37" s="143"/>
      <c r="D37" s="143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44">
        <f>(3/12)</f>
        <v>0.25</v>
      </c>
      <c r="Q37" s="144">
        <f>+(9/12)</f>
        <v>0.75</v>
      </c>
    </row>
    <row r="38" spans="1:18" hidden="1" x14ac:dyDescent="0.35"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45">
        <f>+P36-P37</f>
        <v>0.50534018662152125</v>
      </c>
      <c r="Q38" s="146"/>
    </row>
    <row r="39" spans="1:18" x14ac:dyDescent="0.35">
      <c r="C39" s="130"/>
      <c r="D39" s="130"/>
      <c r="E39" s="136">
        <f>+E15-E33</f>
        <v>-180558.99899999984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47">
        <f>+IF(+P38&gt;0,+P38,0)</f>
        <v>0.50534018662152125</v>
      </c>
      <c r="Q39" s="148"/>
      <c r="R39" s="136" t="s">
        <v>6</v>
      </c>
    </row>
    <row r="40" spans="1:18" x14ac:dyDescent="0.35">
      <c r="D40" s="149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50">
        <f>+IF(+P38&gt;0,0,-P38)</f>
        <v>0</v>
      </c>
      <c r="Q40" s="148"/>
      <c r="R40" s="136" t="s">
        <v>6</v>
      </c>
    </row>
    <row r="41" spans="1:18" x14ac:dyDescent="0.35">
      <c r="E41" s="136"/>
    </row>
  </sheetData>
  <mergeCells count="5">
    <mergeCell ref="A16:R16"/>
    <mergeCell ref="D35:K35"/>
    <mergeCell ref="D36:O36"/>
    <mergeCell ref="C37:D37"/>
    <mergeCell ref="A1:Q1"/>
  </mergeCells>
  <phoneticPr fontId="13" type="noConversion"/>
  <printOptions horizontalCentered="1"/>
  <pageMargins left="0.15748031496062992" right="0.19685039370078741" top="0.51181102362204722" bottom="0.35433070866141736" header="0.15748031496062992" footer="0.15748031496062992"/>
  <pageSetup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81F4-173C-4148-B202-F1441D549C8C}">
  <sheetPr>
    <tabColor theme="0"/>
    <pageSetUpPr fitToPage="1"/>
  </sheetPr>
  <dimension ref="A1:Q39"/>
  <sheetViews>
    <sheetView showGridLines="0" topLeftCell="A3" zoomScale="75" zoomScaleNormal="75" zoomScaleSheetLayoutView="75" workbookViewId="0">
      <selection activeCell="F8" sqref="F8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10" width="13.26953125" style="129" customWidth="1"/>
    <col min="11" max="13" width="11.54296875" style="129" customWidth="1"/>
    <col min="14" max="14" width="15.1796875" style="129" bestFit="1" customWidth="1"/>
    <col min="15" max="15" width="17.54296875" style="129" customWidth="1"/>
    <col min="16" max="16" width="22.453125" style="129" bestFit="1" customWidth="1"/>
    <col min="17" max="17" width="19.26953125" style="129" customWidth="1"/>
    <col min="18" max="16384" width="10.90625" style="129"/>
  </cols>
  <sheetData>
    <row r="1" spans="1:17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</row>
    <row r="2" spans="1:17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27</v>
      </c>
      <c r="N2" s="69" t="s">
        <v>49</v>
      </c>
      <c r="O2" s="69" t="s">
        <v>38</v>
      </c>
      <c r="P2" s="70" t="s">
        <v>39</v>
      </c>
    </row>
    <row r="3" spans="1:17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4577449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v>535193.55299999996</v>
      </c>
      <c r="L3" s="75">
        <v>475798.98700000002</v>
      </c>
      <c r="M3" s="75">
        <v>283385.495</v>
      </c>
      <c r="N3" s="75">
        <v>80533.273000000001</v>
      </c>
      <c r="O3" s="75">
        <f>SUM(F3:N3)</f>
        <v>3370516.7080000006</v>
      </c>
      <c r="P3" s="77">
        <f>+E3-O3</f>
        <v>1206932.2919999994</v>
      </c>
    </row>
    <row r="4" spans="1:17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80"/>
      <c r="P4" s="77"/>
    </row>
    <row r="5" spans="1:17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v>1945.0889999999999</v>
      </c>
      <c r="L5" s="75">
        <v>2854.212</v>
      </c>
      <c r="M5" s="75">
        <v>1960.8430000000001</v>
      </c>
      <c r="N5" s="75">
        <v>2507.6619999999998</v>
      </c>
      <c r="O5" s="75">
        <f>SUM(F5:N5)</f>
        <v>22373.533000000003</v>
      </c>
      <c r="P5" s="77">
        <f>+E5-O5</f>
        <v>9092.4669999999969</v>
      </c>
    </row>
    <row r="6" spans="1:17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78"/>
      <c r="P6" s="86"/>
    </row>
    <row r="7" spans="1:17" x14ac:dyDescent="0.35">
      <c r="A7" s="72">
        <v>8</v>
      </c>
      <c r="B7" s="87"/>
      <c r="C7" s="74" t="s">
        <v>36</v>
      </c>
      <c r="D7" s="75">
        <f t="shared" ref="D7:N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J7" si="1">+H8+H10+H9</f>
        <v>5056.1859999999997</v>
      </c>
      <c r="I7" s="75">
        <f t="shared" si="1"/>
        <v>0</v>
      </c>
      <c r="J7" s="75">
        <f t="shared" si="1"/>
        <v>8329.3080000000009</v>
      </c>
      <c r="K7" s="75">
        <f t="shared" si="0"/>
        <v>12717.816000000001</v>
      </c>
      <c r="L7" s="75">
        <f t="shared" si="0"/>
        <v>5178.3429999999998</v>
      </c>
      <c r="M7" s="75">
        <f t="shared" ref="M7" si="2">+M8+M10+M9</f>
        <v>0</v>
      </c>
      <c r="N7" s="75">
        <f t="shared" si="0"/>
        <v>14088.460999999999</v>
      </c>
      <c r="O7" s="75">
        <f>SUM(F7:N7)</f>
        <v>45370.114000000001</v>
      </c>
      <c r="P7" s="77">
        <f>SUM(P8:P10)</f>
        <v>-7931.1140000000014</v>
      </c>
    </row>
    <row r="8" spans="1:17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v>12717.816000000001</v>
      </c>
      <c r="L8" s="90">
        <v>5178.3429999999998</v>
      </c>
      <c r="M8" s="90"/>
      <c r="N8" s="90">
        <v>14088.460999999999</v>
      </c>
      <c r="O8" s="90">
        <f>SUM(F8:N8)</f>
        <v>45370.114000000001</v>
      </c>
      <c r="P8" s="91">
        <f>+E8-O8</f>
        <v>-7931.1140000000014</v>
      </c>
    </row>
    <row r="9" spans="1:17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/>
      <c r="N9" s="90"/>
      <c r="O9" s="90">
        <f>SUM(F9:K9)</f>
        <v>0</v>
      </c>
      <c r="P9" s="91"/>
    </row>
    <row r="10" spans="1:17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/>
      <c r="M10" s="90"/>
      <c r="N10" s="90"/>
      <c r="O10" s="90">
        <f>SUM(F10:K10)</f>
        <v>0</v>
      </c>
      <c r="P10" s="91">
        <f>+E10-O10</f>
        <v>0</v>
      </c>
    </row>
    <row r="11" spans="1:17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0"/>
      <c r="L11" s="90"/>
      <c r="M11" s="90"/>
      <c r="N11" s="90"/>
      <c r="O11" s="93"/>
      <c r="P11" s="91"/>
    </row>
    <row r="12" spans="1:17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3"/>
      <c r="L12" s="93"/>
      <c r="M12" s="93"/>
      <c r="N12" s="93"/>
      <c r="O12" s="75">
        <f>SUM(F12:N12)</f>
        <v>0</v>
      </c>
      <c r="P12" s="91">
        <f>+E12-O12</f>
        <v>10</v>
      </c>
    </row>
    <row r="13" spans="1:17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0"/>
      <c r="K13" s="90">
        <v>15923</v>
      </c>
      <c r="L13" s="90"/>
      <c r="M13" s="90"/>
      <c r="N13" s="90"/>
      <c r="O13" s="75">
        <f>SUM(F13:N13)</f>
        <v>17763</v>
      </c>
      <c r="P13" s="91"/>
    </row>
    <row r="14" spans="1:17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518998.00199999998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/>
      <c r="M14" s="96"/>
      <c r="N14" s="96"/>
      <c r="O14" s="75">
        <f>SUM(F14:N14)</f>
        <v>0</v>
      </c>
      <c r="P14" s="77">
        <f>+E14-O14</f>
        <v>518998.00199999998</v>
      </c>
    </row>
    <row r="15" spans="1:17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P15" si="3">+E3+E5+E7+E12+E13+E14</f>
        <v>5258321.0020000003</v>
      </c>
      <c r="F15" s="101">
        <f t="shared" si="3"/>
        <v>348083.76699999999</v>
      </c>
      <c r="G15" s="101">
        <f t="shared" si="3"/>
        <v>421226.05200000003</v>
      </c>
      <c r="H15" s="101">
        <f t="shared" si="3"/>
        <v>538907.00699999998</v>
      </c>
      <c r="I15" s="101">
        <f t="shared" si="3"/>
        <v>344445.84899999999</v>
      </c>
      <c r="J15" s="101">
        <f t="shared" si="3"/>
        <v>371273.94600000005</v>
      </c>
      <c r="K15" s="101">
        <f t="shared" si="3"/>
        <v>565779.45799999998</v>
      </c>
      <c r="L15" s="101">
        <f t="shared" si="3"/>
        <v>483831.54200000002</v>
      </c>
      <c r="M15" s="101">
        <f t="shared" ref="M15" si="4">+M3+M5+M7+M12+M13+M14</f>
        <v>285346.33799999999</v>
      </c>
      <c r="N15" s="101">
        <f t="shared" si="3"/>
        <v>97129.395999999993</v>
      </c>
      <c r="O15" s="101">
        <f t="shared" si="3"/>
        <v>3456023.3550000004</v>
      </c>
      <c r="P15" s="101">
        <f t="shared" si="3"/>
        <v>1727101.6469999994</v>
      </c>
    </row>
    <row r="16" spans="1:17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ht="15.5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25</v>
      </c>
      <c r="L17" s="105" t="s">
        <v>26</v>
      </c>
      <c r="M17" s="105" t="s">
        <v>27</v>
      </c>
      <c r="N17" s="105" t="s">
        <v>49</v>
      </c>
      <c r="O17" s="105" t="s">
        <v>65</v>
      </c>
      <c r="P17" s="106" t="s">
        <v>15</v>
      </c>
      <c r="Q17" s="107" t="s">
        <v>81</v>
      </c>
    </row>
    <row r="18" spans="1:17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v>3628868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75">
        <v>424362.05099999998</v>
      </c>
      <c r="L18" s="75">
        <v>244231.62899999999</v>
      </c>
      <c r="M18" s="75">
        <v>242951.348</v>
      </c>
      <c r="N18" s="75">
        <v>427276.065</v>
      </c>
      <c r="O18" s="109">
        <f t="shared" ref="O18:O23" si="5">SUM(F18:N18)</f>
        <v>2764725.844</v>
      </c>
      <c r="P18" s="77">
        <f>+E18-O18</f>
        <v>864142.15599999996</v>
      </c>
      <c r="Q18" s="110">
        <f t="shared" ref="Q18:Q30" si="6">IFERROR(+O18/E18,0)</f>
        <v>0.76187004983372231</v>
      </c>
    </row>
    <row r="19" spans="1:17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814978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75">
        <v>85498.33</v>
      </c>
      <c r="L19" s="75">
        <v>46731.122000000003</v>
      </c>
      <c r="M19" s="75">
        <v>61269.906999999999</v>
      </c>
      <c r="N19" s="75">
        <v>122776.189</v>
      </c>
      <c r="O19" s="109">
        <f t="shared" si="5"/>
        <v>516395.23900000006</v>
      </c>
      <c r="P19" s="77">
        <f>+E19-O19</f>
        <v>298582.76099999994</v>
      </c>
      <c r="Q19" s="110">
        <f t="shared" si="6"/>
        <v>0.63363089433089004</v>
      </c>
    </row>
    <row r="20" spans="1:17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109">
        <f t="shared" si="5"/>
        <v>0</v>
      </c>
      <c r="P20" s="77">
        <f>+E20-O20</f>
        <v>0</v>
      </c>
      <c r="Q20" s="110">
        <f t="shared" si="6"/>
        <v>0</v>
      </c>
    </row>
    <row r="21" spans="1:17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75">
        <v>27375.469000000001</v>
      </c>
      <c r="L21" s="75">
        <v>29533.613000000001</v>
      </c>
      <c r="M21" s="75">
        <v>30954.557000000001</v>
      </c>
      <c r="N21" s="75">
        <v>36413.163999999997</v>
      </c>
      <c r="O21" s="109">
        <f t="shared" si="5"/>
        <v>264386.88700000005</v>
      </c>
      <c r="P21" s="77">
        <f>+E21-O21</f>
        <v>246518.11299999995</v>
      </c>
      <c r="Q21" s="110">
        <f t="shared" si="6"/>
        <v>0.51748737436509729</v>
      </c>
    </row>
    <row r="22" spans="1:17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/>
      <c r="M22" s="75"/>
      <c r="N22" s="75"/>
      <c r="O22" s="109">
        <f t="shared" si="5"/>
        <v>0</v>
      </c>
      <c r="P22" s="77">
        <f>+E22-O22</f>
        <v>0</v>
      </c>
      <c r="Q22" s="110">
        <f t="shared" si="6"/>
        <v>0</v>
      </c>
    </row>
    <row r="23" spans="1:17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N23" si="7">SUM(F24:F28)</f>
        <v>0</v>
      </c>
      <c r="G23" s="75">
        <v>2626.6329999999998</v>
      </c>
      <c r="H23" s="75">
        <f t="shared" ref="H23:J23" si="8">SUM(H24:H28)</f>
        <v>0</v>
      </c>
      <c r="I23" s="75">
        <f t="shared" si="8"/>
        <v>0</v>
      </c>
      <c r="J23" s="75">
        <f t="shared" si="8"/>
        <v>0</v>
      </c>
      <c r="K23" s="75">
        <f t="shared" si="7"/>
        <v>29532.837</v>
      </c>
      <c r="L23" s="75">
        <f t="shared" si="7"/>
        <v>660.00099999999998</v>
      </c>
      <c r="M23" s="75">
        <f t="shared" ref="M23" si="9">SUM(M24:M28)</f>
        <v>4502.8729999999996</v>
      </c>
      <c r="N23" s="75">
        <f t="shared" si="7"/>
        <v>8537.3220000000001</v>
      </c>
      <c r="O23" s="109">
        <f t="shared" si="5"/>
        <v>45859.665999999997</v>
      </c>
      <c r="P23" s="77">
        <f>SUM(P24:P28)</f>
        <v>78575.334000000003</v>
      </c>
      <c r="Q23" s="110">
        <f t="shared" si="6"/>
        <v>0.36854314300638885</v>
      </c>
    </row>
    <row r="24" spans="1:17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90"/>
      <c r="N24" s="90"/>
      <c r="O24" s="115">
        <f t="shared" ref="O24:O28" si="10">SUM(F24:N24)</f>
        <v>0</v>
      </c>
      <c r="P24" s="91">
        <f>+E24-O24</f>
        <v>0</v>
      </c>
      <c r="Q24" s="110">
        <f t="shared" si="6"/>
        <v>0</v>
      </c>
    </row>
    <row r="25" spans="1:17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/>
      <c r="M25" s="90">
        <v>1231.0550000000001</v>
      </c>
      <c r="N25" s="90">
        <v>2641.8</v>
      </c>
      <c r="O25" s="115">
        <f t="shared" si="10"/>
        <v>3872.8550000000005</v>
      </c>
      <c r="P25" s="91">
        <f>+E25-O25</f>
        <v>2550.1449999999995</v>
      </c>
      <c r="Q25" s="110">
        <f t="shared" si="6"/>
        <v>0.60296668223571548</v>
      </c>
    </row>
    <row r="26" spans="1:17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660.00099999999998</v>
      </c>
      <c r="M26" s="90">
        <v>2083.154</v>
      </c>
      <c r="N26" s="90"/>
      <c r="O26" s="115">
        <f t="shared" si="10"/>
        <v>2743.1549999999997</v>
      </c>
      <c r="P26" s="91">
        <f>+E26-O26</f>
        <v>7256.8450000000003</v>
      </c>
      <c r="Q26" s="110">
        <f t="shared" si="6"/>
        <v>0.27431549999999999</v>
      </c>
    </row>
    <row r="27" spans="1:17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+ENERO2021!E28+40000</f>
        <v>41340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/>
      <c r="M27" s="90"/>
      <c r="N27" s="90">
        <v>2218.0650000000001</v>
      </c>
      <c r="O27" s="115">
        <f t="shared" si="10"/>
        <v>2218.0650000000001</v>
      </c>
      <c r="P27" s="91">
        <f>+E27-O27</f>
        <v>39121.934999999998</v>
      </c>
      <c r="Q27" s="110">
        <f t="shared" si="6"/>
        <v>5.3654208998548621E-2</v>
      </c>
    </row>
    <row r="28" spans="1:17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+ENERO2021!E29+7060</f>
        <v>66672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90">
        <v>29532.837</v>
      </c>
      <c r="L28" s="90"/>
      <c r="M28" s="90">
        <v>1188.664</v>
      </c>
      <c r="N28" s="90">
        <v>3677.4569999999999</v>
      </c>
      <c r="O28" s="115">
        <f t="shared" si="10"/>
        <v>37025.591</v>
      </c>
      <c r="P28" s="91">
        <f>+E28-O28</f>
        <v>29646.409</v>
      </c>
      <c r="Q28" s="110">
        <f t="shared" si="6"/>
        <v>0.55533943784497242</v>
      </c>
    </row>
    <row r="29" spans="1:17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16"/>
      <c r="P29" s="91"/>
      <c r="Q29" s="110">
        <f t="shared" si="6"/>
        <v>0</v>
      </c>
    </row>
    <row r="30" spans="1:17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v>179135.00099999999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96">
        <v>0</v>
      </c>
      <c r="L30" s="96"/>
      <c r="M30" s="96"/>
      <c r="N30" s="96"/>
      <c r="O30" s="109">
        <f>SUM(F30:N30)</f>
        <v>179135.307</v>
      </c>
      <c r="P30" s="77">
        <f>+E30-O30</f>
        <v>-0.3060000000114087</v>
      </c>
      <c r="Q30" s="110">
        <f t="shared" si="6"/>
        <v>1.0000017082088832</v>
      </c>
    </row>
    <row r="31" spans="1:17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116"/>
      <c r="P31" s="91"/>
      <c r="Q31" s="117"/>
    </row>
    <row r="32" spans="1:17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96"/>
      <c r="L32" s="96"/>
      <c r="M32" s="96"/>
      <c r="N32" s="96"/>
      <c r="O32" s="109">
        <f>SUM(F32:N32)</f>
        <v>0</v>
      </c>
      <c r="P32" s="91">
        <v>0</v>
      </c>
      <c r="Q32" s="117"/>
    </row>
    <row r="33" spans="1:17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5258321.0010000002</v>
      </c>
      <c r="F33" s="120">
        <f t="shared" ref="F33:N33" si="11">+F32+F30+F23+F22+F21+F20+F19+F18</f>
        <v>283060.81</v>
      </c>
      <c r="G33" s="120">
        <f t="shared" si="11"/>
        <v>469401.46100000001</v>
      </c>
      <c r="H33" s="120">
        <f t="shared" si="11"/>
        <v>533505.63800000004</v>
      </c>
      <c r="I33" s="120">
        <f t="shared" si="11"/>
        <v>332898.23599999998</v>
      </c>
      <c r="J33" s="120">
        <f t="shared" si="11"/>
        <v>329030.321</v>
      </c>
      <c r="K33" s="120">
        <f t="shared" si="11"/>
        <v>566768.68699999992</v>
      </c>
      <c r="L33" s="120">
        <f t="shared" si="11"/>
        <v>321156.36499999999</v>
      </c>
      <c r="M33" s="120">
        <f t="shared" ref="M33" si="12">+M32+M30+M23+M22+M21+M20+M19+M18</f>
        <v>339678.685</v>
      </c>
      <c r="N33" s="120">
        <f t="shared" si="11"/>
        <v>595002.74</v>
      </c>
      <c r="O33" s="120">
        <f>+O32+O30+O23+O22+O21+O20+O19+O18</f>
        <v>3770502.943</v>
      </c>
      <c r="P33" s="121">
        <f>+P32+P30+P23+P22+P21+P20+P19+P18</f>
        <v>1487818.0579999997</v>
      </c>
      <c r="Q33" s="122">
        <f>+O33/E33</f>
        <v>0.71705453932594554</v>
      </c>
    </row>
    <row r="34" spans="1:17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5.3831025140186187E-2</v>
      </c>
      <c r="G34" s="127">
        <f t="shared" ref="G34:N34" si="13">+G33/$E$33</f>
        <v>8.9268316048170454E-2</v>
      </c>
      <c r="H34" s="127">
        <f t="shared" si="13"/>
        <v>0.10145931332426086</v>
      </c>
      <c r="I34" s="127">
        <f t="shared" si="13"/>
        <v>6.3308846290801024E-2</v>
      </c>
      <c r="J34" s="127">
        <f t="shared" si="13"/>
        <v>6.2573266435698147E-2</v>
      </c>
      <c r="K34" s="127">
        <f t="shared" si="13"/>
        <v>0.10778510609987765</v>
      </c>
      <c r="L34" s="127">
        <f t="shared" si="13"/>
        <v>6.107583864486861E-2</v>
      </c>
      <c r="M34" s="127">
        <f t="shared" ref="M34" si="14">+M33/$E$33</f>
        <v>6.4598316636698613E-2</v>
      </c>
      <c r="N34" s="127">
        <f t="shared" si="13"/>
        <v>0.11315451070538399</v>
      </c>
      <c r="O34" s="127">
        <f>+O33/E33</f>
        <v>0.71705453932594554</v>
      </c>
      <c r="P34" s="127">
        <f>+P33/E33</f>
        <v>0.28294546067405435</v>
      </c>
      <c r="Q34" s="128"/>
    </row>
    <row r="35" spans="1:17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3"/>
      <c r="M35" s="133"/>
      <c r="N35" s="133"/>
      <c r="O35" s="134">
        <f>+O33</f>
        <v>3770502.943</v>
      </c>
      <c r="P35" s="134">
        <f>+P33</f>
        <v>1487818.0579999997</v>
      </c>
      <c r="Q35" s="136"/>
    </row>
    <row r="36" spans="1:17" ht="20.25" customHeight="1" x14ac:dyDescent="0.35">
      <c r="C36" s="136"/>
      <c r="D36" s="137" t="s">
        <v>9</v>
      </c>
      <c r="E36" s="138"/>
      <c r="F36" s="138"/>
      <c r="G36" s="138"/>
      <c r="H36" s="138"/>
      <c r="I36" s="138"/>
      <c r="J36" s="138"/>
      <c r="K36" s="138"/>
      <c r="L36" s="138"/>
      <c r="M36" s="138"/>
      <c r="N36" s="139"/>
      <c r="O36" s="127">
        <f>+O35/E33</f>
        <v>0.71705453932594554</v>
      </c>
      <c r="P36" s="141">
        <f>+P35/E33</f>
        <v>0.28294546067405435</v>
      </c>
      <c r="Q36" s="146"/>
    </row>
    <row r="37" spans="1:17" x14ac:dyDescent="0.35">
      <c r="C37" s="143"/>
      <c r="D37" s="143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44">
        <f>(3/12)</f>
        <v>0.25</v>
      </c>
      <c r="P37" s="144">
        <f>+(9/12)</f>
        <v>0.75</v>
      </c>
    </row>
    <row r="38" spans="1:17" hidden="1" x14ac:dyDescent="0.35"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45">
        <f>+O36-O37</f>
        <v>0.46705453932594554</v>
      </c>
      <c r="P38" s="146"/>
    </row>
    <row r="39" spans="1:17" x14ac:dyDescent="0.35">
      <c r="C39" s="130"/>
      <c r="D39" s="130"/>
      <c r="E39" s="136">
        <f>+E15-E33</f>
        <v>1.0000001639127731E-3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47">
        <f>+IF(+O38&gt;0,+O38,0)</f>
        <v>0.46705453932594554</v>
      </c>
      <c r="P39" s="148"/>
      <c r="Q39" s="136" t="s">
        <v>6</v>
      </c>
    </row>
  </sheetData>
  <mergeCells count="5">
    <mergeCell ref="A1:P1"/>
    <mergeCell ref="A16:Q16"/>
    <mergeCell ref="D35:K35"/>
    <mergeCell ref="D36:N36"/>
    <mergeCell ref="C37:D37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7B27-DE4A-4AC4-9144-B573185BE886}">
  <sheetPr>
    <tabColor theme="0"/>
    <pageSetUpPr fitToPage="1"/>
  </sheetPr>
  <dimension ref="A1:P41"/>
  <sheetViews>
    <sheetView showGridLines="0" zoomScale="75" zoomScaleNormal="75" zoomScaleSheetLayoutView="75" workbookViewId="0">
      <selection activeCell="G11" sqref="G11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10" width="13.26953125" style="129" customWidth="1"/>
    <col min="11" max="13" width="11.54296875" style="129" customWidth="1"/>
    <col min="14" max="14" width="17.54296875" style="129" customWidth="1"/>
    <col min="15" max="15" width="22.453125" style="129" bestFit="1" customWidth="1"/>
    <col min="16" max="16" width="19.26953125" style="129" customWidth="1"/>
    <col min="17" max="16384" width="10.90625" style="129"/>
  </cols>
  <sheetData>
    <row r="1" spans="1:16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6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27</v>
      </c>
      <c r="N2" s="69" t="s">
        <v>38</v>
      </c>
      <c r="O2" s="70" t="s">
        <v>39</v>
      </c>
    </row>
    <row r="3" spans="1:16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4577449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v>535193.55299999996</v>
      </c>
      <c r="L3" s="75">
        <v>475798.98700000002</v>
      </c>
      <c r="M3" s="75">
        <v>283385.495</v>
      </c>
      <c r="N3" s="75">
        <f>SUM(F3:M3)</f>
        <v>3289983.4350000005</v>
      </c>
      <c r="O3" s="77">
        <f>+E3-N3</f>
        <v>1287465.5649999995</v>
      </c>
    </row>
    <row r="4" spans="1:16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80"/>
      <c r="O4" s="77"/>
    </row>
    <row r="5" spans="1:16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v>1945.0889999999999</v>
      </c>
      <c r="L5" s="75">
        <v>2854.212</v>
      </c>
      <c r="M5" s="75">
        <v>1960.8430000000001</v>
      </c>
      <c r="N5" s="75">
        <f>SUM(F5:M5)</f>
        <v>19865.871000000003</v>
      </c>
      <c r="O5" s="77">
        <f>+E5-N5</f>
        <v>11600.128999999997</v>
      </c>
    </row>
    <row r="6" spans="1:16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78"/>
      <c r="O6" s="86"/>
    </row>
    <row r="7" spans="1:16" x14ac:dyDescent="0.35">
      <c r="A7" s="72">
        <v>8</v>
      </c>
      <c r="B7" s="87"/>
      <c r="C7" s="74" t="s">
        <v>36</v>
      </c>
      <c r="D7" s="75">
        <f t="shared" ref="D7:M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J7" si="1">+H8+H10+H9</f>
        <v>5056.1859999999997</v>
      </c>
      <c r="I7" s="75">
        <f t="shared" si="1"/>
        <v>0</v>
      </c>
      <c r="J7" s="75">
        <f t="shared" si="1"/>
        <v>8329.3080000000009</v>
      </c>
      <c r="K7" s="75">
        <f t="shared" si="0"/>
        <v>12717.816000000001</v>
      </c>
      <c r="L7" s="75">
        <f t="shared" ref="L7" si="2">+L8+L10+L9</f>
        <v>5178.3429999999998</v>
      </c>
      <c r="M7" s="75">
        <f t="shared" si="0"/>
        <v>0</v>
      </c>
      <c r="N7" s="75">
        <f>SUM(F7:M7)</f>
        <v>31281.653000000002</v>
      </c>
      <c r="O7" s="77">
        <f>SUM(O8:O10)</f>
        <v>6157.3469999999979</v>
      </c>
    </row>
    <row r="8" spans="1:16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v>12717.816000000001</v>
      </c>
      <c r="L8" s="90">
        <v>5178.3429999999998</v>
      </c>
      <c r="M8" s="90"/>
      <c r="N8" s="90">
        <f>SUM(F8:M8)</f>
        <v>31281.653000000002</v>
      </c>
      <c r="O8" s="91">
        <f>+E8-N8</f>
        <v>6157.3469999999979</v>
      </c>
    </row>
    <row r="9" spans="1:16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/>
      <c r="N9" s="90">
        <f>SUM(F9:K9)</f>
        <v>0</v>
      </c>
      <c r="O9" s="91"/>
    </row>
    <row r="10" spans="1:16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/>
      <c r="M10" s="90"/>
      <c r="N10" s="90">
        <f>SUM(F10:K10)</f>
        <v>0</v>
      </c>
      <c r="O10" s="91">
        <f>+E10-N10</f>
        <v>0</v>
      </c>
    </row>
    <row r="11" spans="1:16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0"/>
      <c r="L11" s="90"/>
      <c r="M11" s="90"/>
      <c r="N11" s="93"/>
      <c r="O11" s="91"/>
    </row>
    <row r="12" spans="1:16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3"/>
      <c r="L12" s="93"/>
      <c r="M12" s="93"/>
      <c r="N12" s="75">
        <f>SUM(F12:M12)</f>
        <v>0</v>
      </c>
      <c r="O12" s="91">
        <f>+E12-N12</f>
        <v>10</v>
      </c>
    </row>
    <row r="13" spans="1:16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0"/>
      <c r="K13" s="90">
        <v>15923</v>
      </c>
      <c r="L13" s="90"/>
      <c r="M13" s="90"/>
      <c r="N13" s="75">
        <f>SUM(F13:M13)</f>
        <v>17763</v>
      </c>
      <c r="O13" s="91"/>
    </row>
    <row r="14" spans="1:16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518998.00199999998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/>
      <c r="M14" s="96"/>
      <c r="N14" s="75">
        <f>SUM(F14:M14)</f>
        <v>0</v>
      </c>
      <c r="O14" s="77">
        <f>+E14-N14</f>
        <v>518998.00199999998</v>
      </c>
    </row>
    <row r="15" spans="1:16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O15" si="3">+E3+E5+E7+E12+E13+E14</f>
        <v>5258321.0020000003</v>
      </c>
      <c r="F15" s="101">
        <f t="shared" si="3"/>
        <v>348083.76699999999</v>
      </c>
      <c r="G15" s="101">
        <f t="shared" si="3"/>
        <v>421226.05200000003</v>
      </c>
      <c r="H15" s="101">
        <f t="shared" si="3"/>
        <v>538907.00699999998</v>
      </c>
      <c r="I15" s="101">
        <f t="shared" si="3"/>
        <v>344445.84899999999</v>
      </c>
      <c r="J15" s="101">
        <f t="shared" si="3"/>
        <v>371273.94600000005</v>
      </c>
      <c r="K15" s="101">
        <f t="shared" si="3"/>
        <v>565779.45799999998</v>
      </c>
      <c r="L15" s="101">
        <f t="shared" ref="L15" si="4">+L3+L5+L7+L12+L13+L14</f>
        <v>483831.54200000002</v>
      </c>
      <c r="M15" s="101">
        <f t="shared" si="3"/>
        <v>285346.33799999999</v>
      </c>
      <c r="N15" s="101">
        <f t="shared" si="3"/>
        <v>3358893.9590000003</v>
      </c>
      <c r="O15" s="101">
        <f t="shared" si="3"/>
        <v>1824231.0429999996</v>
      </c>
    </row>
    <row r="16" spans="1:16" ht="15.5" thickTop="1" thickBot="1" x14ac:dyDescent="0.4">
      <c r="A16" s="152" t="s">
        <v>97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</row>
    <row r="17" spans="1:16" ht="21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25</v>
      </c>
      <c r="L17" s="105" t="s">
        <v>26</v>
      </c>
      <c r="M17" s="105" t="s">
        <v>27</v>
      </c>
      <c r="N17" s="105" t="s">
        <v>65</v>
      </c>
      <c r="O17" s="106" t="s">
        <v>15</v>
      </c>
      <c r="P17" s="107" t="s">
        <v>81</v>
      </c>
    </row>
    <row r="18" spans="1:16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v>3628868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75">
        <v>424362.05099999998</v>
      </c>
      <c r="L18" s="75">
        <v>244231.62899999999</v>
      </c>
      <c r="M18" s="75">
        <v>242951.348</v>
      </c>
      <c r="N18" s="109">
        <f t="shared" ref="N18:N23" si="5">SUM(F18:M18)</f>
        <v>2337449.7790000001</v>
      </c>
      <c r="O18" s="77">
        <f>+E18-N18</f>
        <v>1291418.2209999999</v>
      </c>
      <c r="P18" s="110">
        <f t="shared" ref="P18:P30" si="6">IFERROR(+N18/E18,0)</f>
        <v>0.644126427029035</v>
      </c>
    </row>
    <row r="19" spans="1:16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814978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75">
        <v>85498.33</v>
      </c>
      <c r="L19" s="75">
        <v>46731.122000000003</v>
      </c>
      <c r="M19" s="75">
        <v>61269.906999999999</v>
      </c>
      <c r="N19" s="109">
        <f t="shared" si="5"/>
        <v>393619.05000000005</v>
      </c>
      <c r="O19" s="77">
        <f>+E19-N19</f>
        <v>421358.94999999995</v>
      </c>
      <c r="P19" s="110">
        <f t="shared" si="6"/>
        <v>0.48298119703844772</v>
      </c>
    </row>
    <row r="20" spans="1:16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109">
        <f t="shared" si="5"/>
        <v>0</v>
      </c>
      <c r="O20" s="77">
        <f>+E20-N20</f>
        <v>0</v>
      </c>
      <c r="P20" s="110">
        <f t="shared" si="6"/>
        <v>0</v>
      </c>
    </row>
    <row r="21" spans="1:16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75">
        <v>27375.469000000001</v>
      </c>
      <c r="L21" s="75">
        <v>29533.613000000001</v>
      </c>
      <c r="M21" s="75">
        <v>30954.557000000001</v>
      </c>
      <c r="N21" s="109">
        <f t="shared" si="5"/>
        <v>227973.72300000003</v>
      </c>
      <c r="O21" s="77">
        <f>+E21-N21</f>
        <v>282931.277</v>
      </c>
      <c r="P21" s="110">
        <f t="shared" si="6"/>
        <v>0.44621548624499668</v>
      </c>
    </row>
    <row r="22" spans="1:16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/>
      <c r="M22" s="75"/>
      <c r="N22" s="109">
        <f t="shared" si="5"/>
        <v>0</v>
      </c>
      <c r="O22" s="77">
        <f>+E22-N22</f>
        <v>0</v>
      </c>
      <c r="P22" s="110">
        <f t="shared" si="6"/>
        <v>0</v>
      </c>
    </row>
    <row r="23" spans="1:16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M23" si="7">SUM(F24:F28)</f>
        <v>0</v>
      </c>
      <c r="G23" s="75">
        <v>2626.6329999999998</v>
      </c>
      <c r="H23" s="75">
        <f t="shared" ref="H23:J23" si="8">SUM(H24:H28)</f>
        <v>0</v>
      </c>
      <c r="I23" s="75">
        <f t="shared" si="8"/>
        <v>0</v>
      </c>
      <c r="J23" s="75">
        <f t="shared" si="8"/>
        <v>0</v>
      </c>
      <c r="K23" s="75">
        <f t="shared" si="7"/>
        <v>29532.837</v>
      </c>
      <c r="L23" s="75">
        <f t="shared" ref="L23" si="9">SUM(L24:L28)</f>
        <v>660.00099999999998</v>
      </c>
      <c r="M23" s="75">
        <f t="shared" si="7"/>
        <v>4502.8729999999996</v>
      </c>
      <c r="N23" s="109">
        <f t="shared" si="5"/>
        <v>37322.343999999997</v>
      </c>
      <c r="O23" s="77">
        <f>SUM(O24:O28)</f>
        <v>87112.656000000003</v>
      </c>
      <c r="P23" s="110">
        <f t="shared" si="6"/>
        <v>0.29993445573994454</v>
      </c>
    </row>
    <row r="24" spans="1:16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90"/>
      <c r="N24" s="115">
        <f t="shared" ref="N24:N28" si="10">SUM(F24:M24)</f>
        <v>0</v>
      </c>
      <c r="O24" s="91">
        <f>+E24-N24</f>
        <v>0</v>
      </c>
      <c r="P24" s="110">
        <f t="shared" si="6"/>
        <v>0</v>
      </c>
    </row>
    <row r="25" spans="1:16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/>
      <c r="M25" s="90">
        <v>1231.0550000000001</v>
      </c>
      <c r="N25" s="115">
        <f t="shared" si="10"/>
        <v>1231.0550000000001</v>
      </c>
      <c r="O25" s="91">
        <f>+E25-N25</f>
        <v>5191.9449999999997</v>
      </c>
      <c r="P25" s="110">
        <f t="shared" si="6"/>
        <v>0.19166355285692044</v>
      </c>
    </row>
    <row r="26" spans="1:16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660.00099999999998</v>
      </c>
      <c r="M26" s="90">
        <v>2083.154</v>
      </c>
      <c r="N26" s="115">
        <f t="shared" si="10"/>
        <v>2743.1549999999997</v>
      </c>
      <c r="O26" s="91">
        <f>+E26-N26</f>
        <v>7256.8450000000003</v>
      </c>
      <c r="P26" s="110">
        <f t="shared" si="6"/>
        <v>0.27431549999999999</v>
      </c>
    </row>
    <row r="27" spans="1:16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+ENERO2021!E28+40000</f>
        <v>41340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/>
      <c r="M27" s="90"/>
      <c r="N27" s="115">
        <f t="shared" si="10"/>
        <v>0</v>
      </c>
      <c r="O27" s="91">
        <f>+E27-N27</f>
        <v>41340</v>
      </c>
      <c r="P27" s="110">
        <f t="shared" si="6"/>
        <v>0</v>
      </c>
    </row>
    <row r="28" spans="1:16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+ENERO2021!E29+7060</f>
        <v>66672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90">
        <v>29532.837</v>
      </c>
      <c r="L28" s="90"/>
      <c r="M28" s="90">
        <v>1188.664</v>
      </c>
      <c r="N28" s="115">
        <f t="shared" si="10"/>
        <v>33348.133999999998</v>
      </c>
      <c r="O28" s="91">
        <f>+E28-N28</f>
        <v>33323.866000000002</v>
      </c>
      <c r="P28" s="110">
        <f t="shared" si="6"/>
        <v>0.50018199544036479</v>
      </c>
    </row>
    <row r="29" spans="1:16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116"/>
      <c r="O29" s="91"/>
      <c r="P29" s="110">
        <f t="shared" si="6"/>
        <v>0</v>
      </c>
    </row>
    <row r="30" spans="1:16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v>179135.00099999999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96">
        <v>0</v>
      </c>
      <c r="L30" s="96"/>
      <c r="M30" s="96"/>
      <c r="N30" s="109">
        <f>SUM(F30:M30)</f>
        <v>179135.307</v>
      </c>
      <c r="O30" s="77">
        <f>+E30-N30</f>
        <v>-0.3060000000114087</v>
      </c>
      <c r="P30" s="110">
        <f t="shared" si="6"/>
        <v>1.0000017082088832</v>
      </c>
    </row>
    <row r="31" spans="1:16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116"/>
      <c r="O31" s="91"/>
      <c r="P31" s="117"/>
    </row>
    <row r="32" spans="1:16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96"/>
      <c r="L32" s="96"/>
      <c r="M32" s="96"/>
      <c r="N32" s="109">
        <f>SUM(F32:M32)</f>
        <v>0</v>
      </c>
      <c r="O32" s="91">
        <v>0</v>
      </c>
      <c r="P32" s="117"/>
    </row>
    <row r="33" spans="1:16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5258321.0010000002</v>
      </c>
      <c r="F33" s="120">
        <f t="shared" ref="F33:M33" si="11">+F32+F30+F23+F22+F21+F20+F19+F18</f>
        <v>283060.81</v>
      </c>
      <c r="G33" s="120">
        <f t="shared" si="11"/>
        <v>469401.46100000001</v>
      </c>
      <c r="H33" s="120">
        <f t="shared" si="11"/>
        <v>533505.63800000004</v>
      </c>
      <c r="I33" s="120">
        <f t="shared" si="11"/>
        <v>332898.23599999998</v>
      </c>
      <c r="J33" s="120">
        <f t="shared" si="11"/>
        <v>329030.321</v>
      </c>
      <c r="K33" s="120">
        <f t="shared" si="11"/>
        <v>566768.68699999992</v>
      </c>
      <c r="L33" s="120">
        <f t="shared" ref="L33" si="12">+L32+L30+L23+L22+L21+L20+L19+L18</f>
        <v>321156.36499999999</v>
      </c>
      <c r="M33" s="120">
        <f t="shared" si="11"/>
        <v>339678.685</v>
      </c>
      <c r="N33" s="120">
        <f>+N32+N30+N23+N22+N21+N20+N19+N18</f>
        <v>3175500.2030000002</v>
      </c>
      <c r="O33" s="121">
        <f>+O32+O30+O23+O22+O21+O20+O19+O18</f>
        <v>2082820.798</v>
      </c>
      <c r="P33" s="122">
        <f>+N33/E33</f>
        <v>0.60390002862056158</v>
      </c>
    </row>
    <row r="34" spans="1:16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5.3831025140186187E-2</v>
      </c>
      <c r="G34" s="127">
        <f t="shared" ref="G34:M34" si="13">+G33/$E$33</f>
        <v>8.9268316048170454E-2</v>
      </c>
      <c r="H34" s="127">
        <f t="shared" si="13"/>
        <v>0.10145931332426086</v>
      </c>
      <c r="I34" s="127">
        <f t="shared" si="13"/>
        <v>6.3308846290801024E-2</v>
      </c>
      <c r="J34" s="127">
        <f t="shared" si="13"/>
        <v>6.2573266435698147E-2</v>
      </c>
      <c r="K34" s="127">
        <f t="shared" si="13"/>
        <v>0.10778510609987765</v>
      </c>
      <c r="L34" s="127">
        <f t="shared" ref="L34" si="14">+L33/$E$33</f>
        <v>6.107583864486861E-2</v>
      </c>
      <c r="M34" s="127">
        <f t="shared" si="13"/>
        <v>6.4598316636698613E-2</v>
      </c>
      <c r="N34" s="127">
        <f>+N33/E33</f>
        <v>0.60390002862056158</v>
      </c>
      <c r="O34" s="127">
        <f>+O33/E33</f>
        <v>0.39609997137943842</v>
      </c>
      <c r="P34" s="128"/>
    </row>
    <row r="35" spans="1:16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3"/>
      <c r="M35" s="133"/>
      <c r="N35" s="134">
        <f>+N33</f>
        <v>3175500.2030000002</v>
      </c>
      <c r="O35" s="134">
        <f>+O33</f>
        <v>2082820.798</v>
      </c>
      <c r="P35" s="136"/>
    </row>
    <row r="36" spans="1:16" ht="20.25" customHeight="1" x14ac:dyDescent="0.35">
      <c r="C36" s="136"/>
      <c r="D36" s="137" t="s">
        <v>9</v>
      </c>
      <c r="E36" s="138"/>
      <c r="F36" s="138"/>
      <c r="G36" s="138"/>
      <c r="H36" s="138"/>
      <c r="I36" s="138"/>
      <c r="J36" s="138"/>
      <c r="K36" s="138"/>
      <c r="L36" s="138"/>
      <c r="M36" s="139"/>
      <c r="N36" s="159">
        <f>+N35/E33</f>
        <v>0.60390002862056158</v>
      </c>
      <c r="O36" s="153">
        <f>+O35/E33</f>
        <v>0.39609997137943842</v>
      </c>
      <c r="P36" s="155"/>
    </row>
    <row r="37" spans="1:16" x14ac:dyDescent="0.35">
      <c r="C37" s="143"/>
      <c r="D37" s="143"/>
      <c r="E37" s="136"/>
      <c r="F37" s="136"/>
      <c r="G37" s="136"/>
      <c r="H37" s="136"/>
      <c r="I37" s="136"/>
      <c r="J37" s="136"/>
      <c r="K37" s="136"/>
      <c r="L37" s="136"/>
      <c r="M37" s="136"/>
      <c r="N37" s="153">
        <f>(3/12)</f>
        <v>0.25</v>
      </c>
      <c r="O37" s="153">
        <f>+(9/12)</f>
        <v>0.75</v>
      </c>
    </row>
    <row r="38" spans="1:16" hidden="1" x14ac:dyDescent="0.35">
      <c r="E38" s="136"/>
      <c r="F38" s="136"/>
      <c r="G38" s="136"/>
      <c r="H38" s="136"/>
      <c r="I38" s="136"/>
      <c r="J38" s="136"/>
      <c r="K38" s="136"/>
      <c r="L38" s="136"/>
      <c r="M38" s="136"/>
      <c r="N38" s="154">
        <f>+N36-N37</f>
        <v>0.35390002862056158</v>
      </c>
      <c r="O38" s="155"/>
    </row>
    <row r="39" spans="1:16" x14ac:dyDescent="0.35">
      <c r="C39" s="130"/>
      <c r="D39" s="130"/>
      <c r="E39" s="136">
        <f>+E15-E33</f>
        <v>1.0000001639127731E-3</v>
      </c>
      <c r="F39" s="136"/>
      <c r="G39" s="136"/>
      <c r="H39" s="136"/>
      <c r="I39" s="136"/>
      <c r="J39" s="136"/>
      <c r="K39" s="136"/>
      <c r="L39" s="136"/>
      <c r="M39" s="136"/>
      <c r="N39" s="156">
        <f>+IF(+N38&gt;0,+N38,0)</f>
        <v>0.35390002862056158</v>
      </c>
      <c r="P39" s="136" t="s">
        <v>6</v>
      </c>
    </row>
    <row r="40" spans="1:16" x14ac:dyDescent="0.35">
      <c r="D40" s="149"/>
      <c r="E40" s="136"/>
      <c r="F40" s="136"/>
      <c r="G40" s="136"/>
      <c r="H40" s="136"/>
      <c r="I40" s="136"/>
      <c r="J40" s="136"/>
      <c r="K40" s="136"/>
      <c r="L40" s="136"/>
      <c r="M40" s="136"/>
      <c r="N40" s="157">
        <f>+IF(+N38&gt;0,0,-N38)</f>
        <v>0</v>
      </c>
      <c r="P40" s="136" t="s">
        <v>6</v>
      </c>
    </row>
    <row r="41" spans="1:16" x14ac:dyDescent="0.35">
      <c r="D41" s="149"/>
      <c r="N41" s="158">
        <f>+N40*E33</f>
        <v>0</v>
      </c>
    </row>
  </sheetData>
  <mergeCells count="5">
    <mergeCell ref="A16:P16"/>
    <mergeCell ref="D35:K35"/>
    <mergeCell ref="D36:M36"/>
    <mergeCell ref="C37:D37"/>
    <mergeCell ref="A1:O1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972B-52B1-4103-BABF-20EB40DA961E}">
  <sheetPr>
    <tabColor theme="0"/>
    <pageSetUpPr fitToPage="1"/>
  </sheetPr>
  <dimension ref="A1:O40"/>
  <sheetViews>
    <sheetView showGridLines="0" zoomScale="75" zoomScaleNormal="75" zoomScaleSheetLayoutView="75" workbookViewId="0">
      <selection activeCell="H12" sqref="H12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10" width="13.26953125" style="129" customWidth="1"/>
    <col min="11" max="12" width="11.54296875" style="129" customWidth="1"/>
    <col min="13" max="13" width="17.54296875" style="129" customWidth="1"/>
    <col min="14" max="14" width="22.453125" style="129" bestFit="1" customWidth="1"/>
    <col min="15" max="15" width="19.26953125" style="129" customWidth="1"/>
    <col min="16" max="16384" width="10.90625" style="129"/>
  </cols>
  <sheetData>
    <row r="1" spans="1:15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5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26</v>
      </c>
      <c r="M2" s="69" t="s">
        <v>38</v>
      </c>
      <c r="N2" s="70" t="s">
        <v>39</v>
      </c>
    </row>
    <row r="3" spans="1:15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4577449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v>535193.55299999996</v>
      </c>
      <c r="L3" s="75">
        <v>475798.98700000002</v>
      </c>
      <c r="M3" s="75">
        <f>SUM(F3:L3)</f>
        <v>3006597.9400000004</v>
      </c>
      <c r="N3" s="77">
        <f>+E3-M3</f>
        <v>1570851.0599999996</v>
      </c>
    </row>
    <row r="4" spans="1:15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80"/>
      <c r="N4" s="77"/>
    </row>
    <row r="5" spans="1:15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v>1945.0889999999999</v>
      </c>
      <c r="L5" s="75">
        <v>2854.212</v>
      </c>
      <c r="M5" s="75">
        <f>SUM(F5:L5)</f>
        <v>17905.028000000002</v>
      </c>
      <c r="N5" s="77">
        <f>+E5-M5</f>
        <v>13560.971999999998</v>
      </c>
    </row>
    <row r="6" spans="1:15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78"/>
      <c r="N6" s="86"/>
    </row>
    <row r="7" spans="1:15" x14ac:dyDescent="0.35">
      <c r="A7" s="72">
        <v>8</v>
      </c>
      <c r="B7" s="87"/>
      <c r="C7" s="74" t="s">
        <v>36</v>
      </c>
      <c r="D7" s="75">
        <f t="shared" ref="D7:L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J7" si="1">+H8+H10+H9</f>
        <v>5056.1859999999997</v>
      </c>
      <c r="I7" s="75">
        <f t="shared" si="1"/>
        <v>0</v>
      </c>
      <c r="J7" s="75">
        <f t="shared" si="1"/>
        <v>8329.3080000000009</v>
      </c>
      <c r="K7" s="75">
        <f t="shared" si="0"/>
        <v>12717.816000000001</v>
      </c>
      <c r="L7" s="75">
        <f t="shared" si="0"/>
        <v>5178.3429999999998</v>
      </c>
      <c r="M7" s="75">
        <f>SUM(F7:L7)</f>
        <v>31281.653000000002</v>
      </c>
      <c r="N7" s="77">
        <f>SUM(N8:N10)</f>
        <v>6157.3469999999979</v>
      </c>
    </row>
    <row r="8" spans="1:15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v>12717.816000000001</v>
      </c>
      <c r="L8" s="90">
        <v>5178.3429999999998</v>
      </c>
      <c r="M8" s="90">
        <f>SUM(F8:L8)</f>
        <v>31281.653000000002</v>
      </c>
      <c r="N8" s="91">
        <f>+E8-M8</f>
        <v>6157.3469999999979</v>
      </c>
    </row>
    <row r="9" spans="1:15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/>
      <c r="M9" s="90">
        <f>SUM(F9:K9)</f>
        <v>0</v>
      </c>
      <c r="N9" s="91"/>
    </row>
    <row r="10" spans="1:15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/>
      <c r="M10" s="90">
        <f>SUM(F10:K10)</f>
        <v>0</v>
      </c>
      <c r="N10" s="91">
        <f>+E10-M10</f>
        <v>0</v>
      </c>
    </row>
    <row r="11" spans="1:15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0"/>
      <c r="L11" s="90"/>
      <c r="M11" s="93"/>
      <c r="N11" s="91"/>
    </row>
    <row r="12" spans="1:15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3"/>
      <c r="L12" s="93"/>
      <c r="M12" s="75">
        <f>SUM(F12:L12)</f>
        <v>0</v>
      </c>
      <c r="N12" s="91">
        <f>+E12-M12</f>
        <v>10</v>
      </c>
    </row>
    <row r="13" spans="1:15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0"/>
      <c r="K13" s="90">
        <v>15923</v>
      </c>
      <c r="L13" s="90"/>
      <c r="M13" s="75">
        <f>SUM(F13:L13)</f>
        <v>17763</v>
      </c>
      <c r="N13" s="91"/>
    </row>
    <row r="14" spans="1:15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518998.00199999998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/>
      <c r="M14" s="75">
        <f>SUM(F14:L14)</f>
        <v>0</v>
      </c>
      <c r="N14" s="77">
        <f>+E14-M14</f>
        <v>518998.00199999998</v>
      </c>
    </row>
    <row r="15" spans="1:15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N15" si="2">+E3+E5+E7+E12+E13+E14</f>
        <v>5258321.0020000003</v>
      </c>
      <c r="F15" s="101">
        <f t="shared" si="2"/>
        <v>348083.76699999999</v>
      </c>
      <c r="G15" s="101">
        <f t="shared" si="2"/>
        <v>421226.05200000003</v>
      </c>
      <c r="H15" s="101">
        <f t="shared" si="2"/>
        <v>538907.00699999998</v>
      </c>
      <c r="I15" s="101">
        <f t="shared" si="2"/>
        <v>344445.84899999999</v>
      </c>
      <c r="J15" s="101">
        <f t="shared" si="2"/>
        <v>371273.94600000005</v>
      </c>
      <c r="K15" s="101">
        <f t="shared" si="2"/>
        <v>565779.45799999998</v>
      </c>
      <c r="L15" s="101">
        <f t="shared" si="2"/>
        <v>483831.54200000002</v>
      </c>
      <c r="M15" s="101">
        <f t="shared" si="2"/>
        <v>3073547.6210000003</v>
      </c>
      <c r="N15" s="101">
        <f t="shared" si="2"/>
        <v>2109577.3809999996</v>
      </c>
    </row>
    <row r="16" spans="1:15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1:15" ht="14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25</v>
      </c>
      <c r="L17" s="105" t="s">
        <v>26</v>
      </c>
      <c r="M17" s="105" t="s">
        <v>65</v>
      </c>
      <c r="N17" s="106" t="s">
        <v>15</v>
      </c>
      <c r="O17" s="107" t="s">
        <v>81</v>
      </c>
    </row>
    <row r="18" spans="1:15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v>3628868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75">
        <v>424362.05099999998</v>
      </c>
      <c r="L18" s="75">
        <v>244231.62899999999</v>
      </c>
      <c r="M18" s="109">
        <f t="shared" ref="M18:M23" si="3">SUM(F18:L18)</f>
        <v>2094498.4310000001</v>
      </c>
      <c r="N18" s="77">
        <f>+E18-M18</f>
        <v>1534369.5689999999</v>
      </c>
      <c r="O18" s="110">
        <f t="shared" ref="O18:O30" si="4">IFERROR(+M18/E18,0)</f>
        <v>0.57717680306916652</v>
      </c>
    </row>
    <row r="19" spans="1:15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814978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75">
        <v>85498.33</v>
      </c>
      <c r="L19" s="75">
        <v>46731.122000000003</v>
      </c>
      <c r="M19" s="109">
        <f t="shared" si="3"/>
        <v>332349.14300000004</v>
      </c>
      <c r="N19" s="77">
        <f>+E19-M19</f>
        <v>482628.85699999996</v>
      </c>
      <c r="O19" s="110">
        <f t="shared" si="4"/>
        <v>0.40780136764428004</v>
      </c>
    </row>
    <row r="20" spans="1:15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109">
        <f t="shared" si="3"/>
        <v>0</v>
      </c>
      <c r="N20" s="77">
        <f>+E20-M20</f>
        <v>0</v>
      </c>
      <c r="O20" s="110">
        <f t="shared" si="4"/>
        <v>0</v>
      </c>
    </row>
    <row r="21" spans="1:15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75">
        <v>27375.469000000001</v>
      </c>
      <c r="L21" s="75">
        <v>29533.613000000001</v>
      </c>
      <c r="M21" s="109">
        <f t="shared" si="3"/>
        <v>197019.16600000003</v>
      </c>
      <c r="N21" s="77">
        <f>+E21-M21</f>
        <v>313885.83399999997</v>
      </c>
      <c r="O21" s="110">
        <f t="shared" si="4"/>
        <v>0.38562778990223234</v>
      </c>
    </row>
    <row r="22" spans="1:15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/>
      <c r="M22" s="109">
        <f t="shared" si="3"/>
        <v>0</v>
      </c>
      <c r="N22" s="77">
        <f>+E22-M22</f>
        <v>0</v>
      </c>
      <c r="O22" s="110">
        <f t="shared" si="4"/>
        <v>0</v>
      </c>
    </row>
    <row r="23" spans="1:15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L23" si="5">SUM(F24:F28)</f>
        <v>0</v>
      </c>
      <c r="G23" s="75">
        <v>2626.6329999999998</v>
      </c>
      <c r="H23" s="75">
        <f t="shared" ref="H23:J23" si="6">SUM(H24:H28)</f>
        <v>0</v>
      </c>
      <c r="I23" s="75">
        <f t="shared" si="6"/>
        <v>0</v>
      </c>
      <c r="J23" s="75">
        <f t="shared" si="6"/>
        <v>0</v>
      </c>
      <c r="K23" s="75">
        <f t="shared" si="5"/>
        <v>29532.837</v>
      </c>
      <c r="L23" s="75">
        <f t="shared" si="5"/>
        <v>660.00099999999998</v>
      </c>
      <c r="M23" s="109">
        <f t="shared" si="3"/>
        <v>32819.470999999998</v>
      </c>
      <c r="N23" s="77">
        <f>SUM(N24:N28)</f>
        <v>91615.528999999995</v>
      </c>
      <c r="O23" s="110">
        <f t="shared" si="4"/>
        <v>0.26374790854663077</v>
      </c>
    </row>
    <row r="24" spans="1:15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90"/>
      <c r="M24" s="115">
        <f t="shared" ref="M24:M28" si="7">SUM(F24:L24)</f>
        <v>0</v>
      </c>
      <c r="N24" s="91">
        <f>+E24-M24</f>
        <v>0</v>
      </c>
      <c r="O24" s="110">
        <f t="shared" si="4"/>
        <v>0</v>
      </c>
    </row>
    <row r="25" spans="1:15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90"/>
      <c r="M25" s="115">
        <f t="shared" si="7"/>
        <v>0</v>
      </c>
      <c r="N25" s="91">
        <f>+E25-M25</f>
        <v>6423</v>
      </c>
      <c r="O25" s="110">
        <f t="shared" si="4"/>
        <v>0</v>
      </c>
    </row>
    <row r="26" spans="1:15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660.00099999999998</v>
      </c>
      <c r="M26" s="115">
        <f t="shared" si="7"/>
        <v>660.00099999999998</v>
      </c>
      <c r="N26" s="91">
        <f>+E26-M26</f>
        <v>9339.9989999999998</v>
      </c>
      <c r="O26" s="110">
        <f t="shared" si="4"/>
        <v>6.6000099999999992E-2</v>
      </c>
    </row>
    <row r="27" spans="1:15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+ENERO2021!E28+40000</f>
        <v>41340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90"/>
      <c r="M27" s="115">
        <f t="shared" si="7"/>
        <v>0</v>
      </c>
      <c r="N27" s="91">
        <f>+E27-M27</f>
        <v>41340</v>
      </c>
      <c r="O27" s="110">
        <f t="shared" si="4"/>
        <v>0</v>
      </c>
    </row>
    <row r="28" spans="1:15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+ENERO2021!E29+7060</f>
        <v>66672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90">
        <v>29532.837</v>
      </c>
      <c r="L28" s="90"/>
      <c r="M28" s="115">
        <f t="shared" si="7"/>
        <v>32159.47</v>
      </c>
      <c r="N28" s="91">
        <f>+E28-M28</f>
        <v>34512.53</v>
      </c>
      <c r="O28" s="110">
        <f t="shared" si="4"/>
        <v>0.48235346172306215</v>
      </c>
    </row>
    <row r="29" spans="1:15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90"/>
      <c r="L29" s="90"/>
      <c r="M29" s="116"/>
      <c r="N29" s="91"/>
      <c r="O29" s="110">
        <f t="shared" si="4"/>
        <v>0</v>
      </c>
    </row>
    <row r="30" spans="1:15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v>179135.00099999999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96">
        <v>0</v>
      </c>
      <c r="L30" s="96"/>
      <c r="M30" s="109">
        <f>SUM(F30:L30)</f>
        <v>179135.307</v>
      </c>
      <c r="N30" s="77">
        <f>+E30-M30</f>
        <v>-0.3060000000114087</v>
      </c>
      <c r="O30" s="110">
        <f t="shared" si="4"/>
        <v>1.0000017082088832</v>
      </c>
    </row>
    <row r="31" spans="1:15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116"/>
      <c r="N31" s="91"/>
      <c r="O31" s="117"/>
    </row>
    <row r="32" spans="1:15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96"/>
      <c r="L32" s="96"/>
      <c r="M32" s="109">
        <f>SUM(F32:L32)</f>
        <v>0</v>
      </c>
      <c r="N32" s="91">
        <v>0</v>
      </c>
      <c r="O32" s="117"/>
    </row>
    <row r="33" spans="1:15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5258321.0010000002</v>
      </c>
      <c r="F33" s="120">
        <f t="shared" ref="F33:K33" si="8">+F32+F30+F23+F22+F21+F20+F19+F18</f>
        <v>283060.81</v>
      </c>
      <c r="G33" s="120">
        <f t="shared" si="8"/>
        <v>469401.46100000001</v>
      </c>
      <c r="H33" s="120">
        <f t="shared" si="8"/>
        <v>533505.63800000004</v>
      </c>
      <c r="I33" s="120">
        <f t="shared" si="8"/>
        <v>332898.23599999998</v>
      </c>
      <c r="J33" s="120">
        <f t="shared" si="8"/>
        <v>329030.321</v>
      </c>
      <c r="K33" s="120">
        <f t="shared" si="8"/>
        <v>566768.68699999992</v>
      </c>
      <c r="L33" s="120">
        <f t="shared" ref="L33" si="9">+L32+L30+L23+L22+L21+L20+L19+L18</f>
        <v>321156.36499999999</v>
      </c>
      <c r="M33" s="120">
        <f>+M32+M30+M23+M22+M21+M20+M19+M18</f>
        <v>2835821.5180000002</v>
      </c>
      <c r="N33" s="121">
        <f>+N32+N30+N23+N22+N21+N20+N19+N18</f>
        <v>2422499.483</v>
      </c>
      <c r="O33" s="122">
        <f>+M33/E33</f>
        <v>0.53930171198386301</v>
      </c>
    </row>
    <row r="34" spans="1:15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5.3831025140186187E-2</v>
      </c>
      <c r="G34" s="127">
        <f t="shared" ref="G34:K34" si="10">+G33/$E$33</f>
        <v>8.9268316048170454E-2</v>
      </c>
      <c r="H34" s="127">
        <f t="shared" si="10"/>
        <v>0.10145931332426086</v>
      </c>
      <c r="I34" s="127">
        <f t="shared" si="10"/>
        <v>6.3308846290801024E-2</v>
      </c>
      <c r="J34" s="127">
        <f t="shared" si="10"/>
        <v>6.2573266435698147E-2</v>
      </c>
      <c r="K34" s="127">
        <f t="shared" si="10"/>
        <v>0.10778510609987765</v>
      </c>
      <c r="L34" s="127">
        <f t="shared" ref="L34" si="11">+L33/$E$33</f>
        <v>6.107583864486861E-2</v>
      </c>
      <c r="M34" s="127">
        <f>+M33/E33</f>
        <v>0.53930171198386301</v>
      </c>
      <c r="N34" s="127">
        <f>+N33/E33</f>
        <v>0.46069828801613705</v>
      </c>
      <c r="O34" s="128"/>
    </row>
    <row r="35" spans="1:15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3"/>
      <c r="M35" s="134">
        <f>+M33</f>
        <v>2835821.5180000002</v>
      </c>
      <c r="N35" s="134">
        <f>+N33</f>
        <v>2422499.483</v>
      </c>
      <c r="O35" s="136"/>
    </row>
    <row r="36" spans="1:15" ht="20.25" customHeight="1" x14ac:dyDescent="0.35">
      <c r="C36" s="136"/>
      <c r="D36" s="137" t="s">
        <v>9</v>
      </c>
      <c r="E36" s="138"/>
      <c r="F36" s="138"/>
      <c r="G36" s="138"/>
      <c r="H36" s="138"/>
      <c r="I36" s="138"/>
      <c r="J36" s="138"/>
      <c r="K36" s="138"/>
      <c r="L36" s="139"/>
      <c r="M36" s="159">
        <f>+M35/E33</f>
        <v>0.53930171198386301</v>
      </c>
      <c r="N36" s="153">
        <f>+N35/E33</f>
        <v>0.46069828801613705</v>
      </c>
      <c r="O36" s="155"/>
    </row>
    <row r="37" spans="1:15" x14ac:dyDescent="0.35">
      <c r="C37" s="143"/>
      <c r="D37" s="143"/>
      <c r="E37" s="136"/>
      <c r="F37" s="136"/>
      <c r="G37" s="136"/>
      <c r="H37" s="136"/>
      <c r="I37" s="136"/>
      <c r="J37" s="136"/>
      <c r="K37" s="136"/>
      <c r="L37" s="136"/>
      <c r="M37" s="153">
        <f>(3/12)</f>
        <v>0.25</v>
      </c>
      <c r="N37" s="153">
        <f>+(9/12)</f>
        <v>0.75</v>
      </c>
    </row>
    <row r="38" spans="1:15" hidden="1" x14ac:dyDescent="0.35">
      <c r="E38" s="136"/>
      <c r="F38" s="136"/>
      <c r="G38" s="136"/>
      <c r="H38" s="136"/>
      <c r="I38" s="136"/>
      <c r="J38" s="136"/>
      <c r="K38" s="136"/>
      <c r="L38" s="136"/>
      <c r="M38" s="154">
        <f>+M36-M37</f>
        <v>0.28930171198386301</v>
      </c>
      <c r="N38" s="155"/>
    </row>
    <row r="39" spans="1:15" x14ac:dyDescent="0.35">
      <c r="C39" s="130"/>
      <c r="D39" s="130"/>
      <c r="E39" s="136">
        <f>+E15-E33</f>
        <v>1.0000001639127731E-3</v>
      </c>
      <c r="F39" s="136"/>
      <c r="G39" s="136"/>
      <c r="H39" s="136"/>
      <c r="I39" s="136"/>
      <c r="J39" s="136"/>
      <c r="K39" s="136"/>
      <c r="L39" s="136"/>
      <c r="M39" s="156">
        <f>+IF(+M38&gt;0,+M38,0)</f>
        <v>0.28930171198386301</v>
      </c>
      <c r="O39" s="136" t="s">
        <v>6</v>
      </c>
    </row>
    <row r="40" spans="1:15" x14ac:dyDescent="0.35">
      <c r="D40" s="149"/>
      <c r="E40" s="136"/>
      <c r="F40" s="136"/>
      <c r="G40" s="136"/>
      <c r="H40" s="136"/>
      <c r="I40" s="136"/>
      <c r="J40" s="136"/>
      <c r="K40" s="136"/>
      <c r="L40" s="136"/>
      <c r="M40" s="157">
        <f>+IF(+M38&gt;0,0,-M38)</f>
        <v>0</v>
      </c>
      <c r="O40" s="136" t="s">
        <v>6</v>
      </c>
    </row>
  </sheetData>
  <mergeCells count="5">
    <mergeCell ref="C37:D37"/>
    <mergeCell ref="D36:L36"/>
    <mergeCell ref="A1:N1"/>
    <mergeCell ref="A16:O16"/>
    <mergeCell ref="D35:K35"/>
  </mergeCells>
  <printOptions horizontalCentered="1"/>
  <pageMargins left="0.15748031496062992" right="0.19685039370078741" top="0.51181102362204722" bottom="0.35433070866141736" header="0.15748031496062992" footer="0.15748031496062992"/>
  <pageSetup scale="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9412-F029-49F3-904F-04728EB5BE69}">
  <sheetPr>
    <tabColor theme="0"/>
    <pageSetUpPr fitToPage="1"/>
  </sheetPr>
  <dimension ref="A1:N40"/>
  <sheetViews>
    <sheetView showGridLines="0" tabSelected="1" zoomScale="75" zoomScaleNormal="75" zoomScaleSheetLayoutView="75" workbookViewId="0">
      <selection activeCell="I10" sqref="I10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10" width="13.26953125" style="129" customWidth="1"/>
    <col min="11" max="11" width="11.54296875" style="129" customWidth="1"/>
    <col min="12" max="12" width="17.54296875" style="129" customWidth="1"/>
    <col min="13" max="13" width="22.453125" style="129" bestFit="1" customWidth="1"/>
    <col min="14" max="14" width="19.26953125" style="129" customWidth="1"/>
    <col min="15" max="16384" width="10.90625" style="129"/>
  </cols>
  <sheetData>
    <row r="1" spans="1:14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25</v>
      </c>
      <c r="L2" s="69" t="s">
        <v>38</v>
      </c>
      <c r="M2" s="70" t="s">
        <v>39</v>
      </c>
    </row>
    <row r="3" spans="1:14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4577449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v>535193.55299999996</v>
      </c>
      <c r="L3" s="75">
        <f>SUM(F3:K3)</f>
        <v>2530798.9530000002</v>
      </c>
      <c r="M3" s="77">
        <f>+E3-L3</f>
        <v>2046650.0469999998</v>
      </c>
    </row>
    <row r="4" spans="1:14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80"/>
      <c r="M4" s="77"/>
    </row>
    <row r="5" spans="1:14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v>1945.0889999999999</v>
      </c>
      <c r="L5" s="75">
        <f>SUM(F5:K5)</f>
        <v>15050.816000000001</v>
      </c>
      <c r="M5" s="77">
        <f>+E5-L5</f>
        <v>16415.184000000001</v>
      </c>
    </row>
    <row r="6" spans="1:14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78"/>
      <c r="M6" s="86"/>
    </row>
    <row r="7" spans="1:14" x14ac:dyDescent="0.35">
      <c r="A7" s="72">
        <v>8</v>
      </c>
      <c r="B7" s="87"/>
      <c r="C7" s="74" t="s">
        <v>36</v>
      </c>
      <c r="D7" s="75">
        <f t="shared" ref="D7:K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J7" si="1">+H8+H10+H9</f>
        <v>5056.1859999999997</v>
      </c>
      <c r="I7" s="75">
        <f t="shared" si="1"/>
        <v>0</v>
      </c>
      <c r="J7" s="75">
        <f t="shared" si="1"/>
        <v>8329.3080000000009</v>
      </c>
      <c r="K7" s="75">
        <f t="shared" si="0"/>
        <v>12717.816000000001</v>
      </c>
      <c r="L7" s="75">
        <f>SUM(F7:K7)</f>
        <v>26103.31</v>
      </c>
      <c r="M7" s="77">
        <f>SUM(M8:M10)</f>
        <v>11335.689999999999</v>
      </c>
    </row>
    <row r="8" spans="1:14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v>12717.816000000001</v>
      </c>
      <c r="L8" s="90">
        <f>SUM(F8:K8)</f>
        <v>26103.31</v>
      </c>
      <c r="M8" s="91">
        <f>+E8-L8</f>
        <v>11335.689999999999</v>
      </c>
    </row>
    <row r="9" spans="1:14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/>
      <c r="L9" s="90">
        <f>SUM(F9:K9)</f>
        <v>0</v>
      </c>
      <c r="M9" s="91"/>
    </row>
    <row r="10" spans="1:14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f>SUM(F10:K10)</f>
        <v>0</v>
      </c>
      <c r="M10" s="91">
        <f>+E10-L10</f>
        <v>0</v>
      </c>
    </row>
    <row r="11" spans="1:14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0"/>
      <c r="L11" s="93"/>
      <c r="M11" s="91"/>
    </row>
    <row r="12" spans="1:14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3"/>
      <c r="L12" s="90">
        <f>SUM(F12:K12)</f>
        <v>0</v>
      </c>
      <c r="M12" s="91">
        <f>+E12-L12</f>
        <v>10</v>
      </c>
    </row>
    <row r="13" spans="1:14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0"/>
      <c r="K13" s="90">
        <v>15923</v>
      </c>
      <c r="L13" s="90"/>
      <c r="M13" s="91"/>
    </row>
    <row r="14" spans="1:14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518998.00199999998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0">
        <f>SUM(F14:K14)</f>
        <v>0</v>
      </c>
      <c r="M14" s="77">
        <f>+E14-L14</f>
        <v>518998.00199999998</v>
      </c>
    </row>
    <row r="15" spans="1:14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M15" si="2">+E3+E5+E7+E12+E13+E14</f>
        <v>5258321.0020000003</v>
      </c>
      <c r="F15" s="101">
        <f t="shared" si="2"/>
        <v>348083.76699999999</v>
      </c>
      <c r="G15" s="101">
        <f t="shared" si="2"/>
        <v>421226.05200000003</v>
      </c>
      <c r="H15" s="101">
        <f t="shared" si="2"/>
        <v>538907.00699999998</v>
      </c>
      <c r="I15" s="101">
        <f t="shared" si="2"/>
        <v>344445.84899999999</v>
      </c>
      <c r="J15" s="101">
        <f t="shared" ref="J15" si="3">+J3+J5+J7+J12+J13+J14</f>
        <v>371273.94600000005</v>
      </c>
      <c r="K15" s="101">
        <f t="shared" si="2"/>
        <v>565779.45799999998</v>
      </c>
      <c r="L15" s="101">
        <f t="shared" si="2"/>
        <v>2571953.0790000004</v>
      </c>
      <c r="M15" s="101">
        <f t="shared" si="2"/>
        <v>2593408.9229999995</v>
      </c>
    </row>
    <row r="16" spans="1:14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</row>
    <row r="17" spans="1:14" ht="17.5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25</v>
      </c>
      <c r="L17" s="105" t="s">
        <v>65</v>
      </c>
      <c r="M17" s="106" t="s">
        <v>15</v>
      </c>
      <c r="N17" s="107" t="s">
        <v>81</v>
      </c>
    </row>
    <row r="18" spans="1:14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v>3628868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75">
        <v>424362.05099999998</v>
      </c>
      <c r="L18" s="109">
        <f t="shared" ref="L18:L28" si="4">SUM(F18:K18)</f>
        <v>1850266.8020000001</v>
      </c>
      <c r="M18" s="77">
        <f>+E18-L18</f>
        <v>1778601.1979999999</v>
      </c>
      <c r="N18" s="110">
        <f t="shared" ref="N18:N30" si="5">IFERROR(+L18/E18,0)</f>
        <v>0.5098743745983596</v>
      </c>
    </row>
    <row r="19" spans="1:14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814978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75">
        <v>85498.33</v>
      </c>
      <c r="L19" s="109">
        <f t="shared" si="4"/>
        <v>285618.02100000001</v>
      </c>
      <c r="M19" s="77">
        <f>+E19-L19</f>
        <v>529359.97900000005</v>
      </c>
      <c r="N19" s="110">
        <f t="shared" si="5"/>
        <v>0.35046101980666966</v>
      </c>
    </row>
    <row r="20" spans="1:14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109">
        <f t="shared" si="4"/>
        <v>0</v>
      </c>
      <c r="M20" s="77">
        <f>+E20-L20</f>
        <v>0</v>
      </c>
      <c r="N20" s="110">
        <f t="shared" si="5"/>
        <v>0</v>
      </c>
    </row>
    <row r="21" spans="1:14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75">
        <v>27375.469000000001</v>
      </c>
      <c r="L21" s="109">
        <f t="shared" si="4"/>
        <v>167485.55300000001</v>
      </c>
      <c r="M21" s="77">
        <f>+E21-L21</f>
        <v>343419.44699999999</v>
      </c>
      <c r="N21" s="110">
        <f t="shared" si="5"/>
        <v>0.3278213229465361</v>
      </c>
    </row>
    <row r="22" spans="1:14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109">
        <f t="shared" si="4"/>
        <v>0</v>
      </c>
      <c r="M22" s="77">
        <f>+E22-L22</f>
        <v>0</v>
      </c>
      <c r="N22" s="110">
        <f t="shared" si="5"/>
        <v>0</v>
      </c>
    </row>
    <row r="23" spans="1:14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K23" si="6">SUM(F24:F28)</f>
        <v>0</v>
      </c>
      <c r="G23" s="75">
        <v>2626.6329999999998</v>
      </c>
      <c r="H23" s="75">
        <f t="shared" ref="H23:J23" si="7">SUM(H24:H28)</f>
        <v>0</v>
      </c>
      <c r="I23" s="75">
        <f t="shared" si="7"/>
        <v>0</v>
      </c>
      <c r="J23" s="75">
        <f t="shared" si="7"/>
        <v>0</v>
      </c>
      <c r="K23" s="75">
        <f t="shared" si="6"/>
        <v>29532.837</v>
      </c>
      <c r="L23" s="109">
        <f t="shared" si="4"/>
        <v>32159.47</v>
      </c>
      <c r="M23" s="77">
        <f>SUM(M24:M28)</f>
        <v>92275.53</v>
      </c>
      <c r="N23" s="110">
        <f t="shared" si="5"/>
        <v>0.25844392654799697</v>
      </c>
    </row>
    <row r="24" spans="1:14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90">
        <v>0</v>
      </c>
      <c r="L24" s="115">
        <f t="shared" si="4"/>
        <v>0</v>
      </c>
      <c r="M24" s="91">
        <f>+E24-L24</f>
        <v>0</v>
      </c>
      <c r="N24" s="110">
        <f t="shared" si="5"/>
        <v>0</v>
      </c>
    </row>
    <row r="25" spans="1:14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90">
        <v>0</v>
      </c>
      <c r="L25" s="115">
        <f t="shared" si="4"/>
        <v>0</v>
      </c>
      <c r="M25" s="91">
        <f>+E25-L25</f>
        <v>6423</v>
      </c>
      <c r="N25" s="110">
        <f t="shared" si="5"/>
        <v>0</v>
      </c>
    </row>
    <row r="26" spans="1:14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115">
        <f t="shared" si="4"/>
        <v>0</v>
      </c>
      <c r="M26" s="91">
        <f>+E26-L26</f>
        <v>10000</v>
      </c>
      <c r="N26" s="110">
        <f t="shared" si="5"/>
        <v>0</v>
      </c>
    </row>
    <row r="27" spans="1:14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+ENERO2021!E28+40000</f>
        <v>41340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90">
        <v>0</v>
      </c>
      <c r="L27" s="115">
        <f t="shared" si="4"/>
        <v>0</v>
      </c>
      <c r="M27" s="91">
        <f>+E27-L27</f>
        <v>41340</v>
      </c>
      <c r="N27" s="110">
        <f t="shared" si="5"/>
        <v>0</v>
      </c>
    </row>
    <row r="28" spans="1:14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+ENERO2021!E29+7060</f>
        <v>66672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90">
        <v>29532.837</v>
      </c>
      <c r="L28" s="115">
        <f t="shared" si="4"/>
        <v>32159.47</v>
      </c>
      <c r="M28" s="91">
        <f>+E28-L28</f>
        <v>34512.53</v>
      </c>
      <c r="N28" s="110">
        <f t="shared" si="5"/>
        <v>0.48235346172306215</v>
      </c>
    </row>
    <row r="29" spans="1:14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90"/>
      <c r="L29" s="116"/>
      <c r="M29" s="91"/>
      <c r="N29" s="110">
        <f t="shared" si="5"/>
        <v>0</v>
      </c>
    </row>
    <row r="30" spans="1:14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v>179135.00099999999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96">
        <v>0</v>
      </c>
      <c r="L30" s="160">
        <f>SUM(F30:K30)</f>
        <v>179135.307</v>
      </c>
      <c r="M30" s="77">
        <f>+E30-L30</f>
        <v>-0.3060000000114087</v>
      </c>
      <c r="N30" s="110">
        <f t="shared" si="5"/>
        <v>1.0000017082088832</v>
      </c>
    </row>
    <row r="31" spans="1:14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93"/>
      <c r="L31" s="116"/>
      <c r="M31" s="91"/>
      <c r="N31" s="117"/>
    </row>
    <row r="32" spans="1:14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96"/>
      <c r="L32" s="115">
        <f>SUM(F32:K32)</f>
        <v>0</v>
      </c>
      <c r="M32" s="91">
        <v>0</v>
      </c>
      <c r="N32" s="117"/>
    </row>
    <row r="33" spans="1:14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5258321.0010000002</v>
      </c>
      <c r="F33" s="120">
        <f t="shared" ref="F33:M33" si="8">+F32+F30+F23+F22+F21+F20+F19+F18</f>
        <v>283060.81</v>
      </c>
      <c r="G33" s="120">
        <f t="shared" si="8"/>
        <v>469401.46100000001</v>
      </c>
      <c r="H33" s="120">
        <f t="shared" si="8"/>
        <v>533505.63800000004</v>
      </c>
      <c r="I33" s="120">
        <f t="shared" si="8"/>
        <v>332898.23599999998</v>
      </c>
      <c r="J33" s="120">
        <f t="shared" ref="J33" si="9">+J32+J30+J23+J22+J21+J20+J19+J18</f>
        <v>329030.321</v>
      </c>
      <c r="K33" s="120">
        <f t="shared" si="8"/>
        <v>566768.68699999992</v>
      </c>
      <c r="L33" s="120">
        <f>+L32+L30+L23+L22+L21+L20+L19+L18</f>
        <v>2514665.1529999999</v>
      </c>
      <c r="M33" s="121">
        <f t="shared" si="8"/>
        <v>2743655.8479999998</v>
      </c>
      <c r="N33" s="122">
        <f>+L33/E33</f>
        <v>0.4782258733389943</v>
      </c>
    </row>
    <row r="34" spans="1:14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5.3831025140186187E-2</v>
      </c>
      <c r="G34" s="127">
        <f t="shared" ref="G34:K34" si="10">+G33/$E$33</f>
        <v>8.9268316048170454E-2</v>
      </c>
      <c r="H34" s="127">
        <f t="shared" si="10"/>
        <v>0.10145931332426086</v>
      </c>
      <c r="I34" s="127">
        <f t="shared" si="10"/>
        <v>6.3308846290801024E-2</v>
      </c>
      <c r="J34" s="127">
        <f t="shared" ref="J34" si="11">+J33/$E$33</f>
        <v>6.2573266435698147E-2</v>
      </c>
      <c r="K34" s="127">
        <f t="shared" si="10"/>
        <v>0.10778510609987765</v>
      </c>
      <c r="L34" s="127">
        <f>+L33/E33</f>
        <v>0.4782258733389943</v>
      </c>
      <c r="M34" s="127">
        <f>+M33/E33</f>
        <v>0.52177412666100553</v>
      </c>
      <c r="N34" s="128"/>
    </row>
    <row r="35" spans="1:14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2"/>
      <c r="L35" s="134">
        <f>+L33</f>
        <v>2514665.1529999999</v>
      </c>
      <c r="M35" s="134">
        <f>+M33</f>
        <v>2743655.8479999998</v>
      </c>
      <c r="N35" s="136"/>
    </row>
    <row r="36" spans="1:14" x14ac:dyDescent="0.35">
      <c r="C36" s="136"/>
      <c r="D36" s="161" t="s">
        <v>9</v>
      </c>
      <c r="E36" s="161"/>
      <c r="F36" s="161"/>
      <c r="G36" s="161"/>
      <c r="H36" s="161"/>
      <c r="I36" s="161"/>
      <c r="J36" s="161"/>
      <c r="K36" s="161"/>
      <c r="L36" s="159">
        <f>+L35/E33</f>
        <v>0.4782258733389943</v>
      </c>
      <c r="M36" s="153">
        <f>+M35/E33</f>
        <v>0.52177412666100553</v>
      </c>
      <c r="N36" s="155"/>
    </row>
    <row r="37" spans="1:14" x14ac:dyDescent="0.35">
      <c r="C37" s="143"/>
      <c r="D37" s="143"/>
      <c r="E37" s="136"/>
      <c r="F37" s="136"/>
      <c r="G37" s="136"/>
      <c r="H37" s="136"/>
      <c r="I37" s="136"/>
      <c r="J37" s="136"/>
      <c r="K37" s="136"/>
      <c r="L37" s="153">
        <f>(3/12)</f>
        <v>0.25</v>
      </c>
      <c r="M37" s="153">
        <f>+(9/12)</f>
        <v>0.75</v>
      </c>
    </row>
    <row r="38" spans="1:14" hidden="1" x14ac:dyDescent="0.35">
      <c r="E38" s="136"/>
      <c r="F38" s="136"/>
      <c r="G38" s="136"/>
      <c r="H38" s="136"/>
      <c r="I38" s="136"/>
      <c r="J38" s="136"/>
      <c r="K38" s="136"/>
      <c r="L38" s="154">
        <f>+L36-L37</f>
        <v>0.2282258733389943</v>
      </c>
      <c r="M38" s="155"/>
    </row>
    <row r="39" spans="1:14" x14ac:dyDescent="0.35">
      <c r="C39" s="130"/>
      <c r="D39" s="130"/>
      <c r="E39" s="136">
        <f>+E15-E33</f>
        <v>1.0000001639127731E-3</v>
      </c>
      <c r="F39" s="136"/>
      <c r="G39" s="136"/>
      <c r="H39" s="136"/>
      <c r="I39" s="136"/>
      <c r="J39" s="136"/>
      <c r="K39" s="136"/>
      <c r="L39" s="156">
        <f>+IF(+L38&gt;0,+L38,0)</f>
        <v>0.2282258733389943</v>
      </c>
      <c r="N39" s="136" t="s">
        <v>6</v>
      </c>
    </row>
    <row r="40" spans="1:14" x14ac:dyDescent="0.35">
      <c r="D40" s="149"/>
      <c r="E40" s="136"/>
      <c r="F40" s="136"/>
      <c r="G40" s="136"/>
      <c r="H40" s="136"/>
      <c r="I40" s="136"/>
      <c r="J40" s="136"/>
      <c r="K40" s="136"/>
      <c r="L40" s="157">
        <f>+IF(+L38&gt;0,0,-L38)</f>
        <v>0</v>
      </c>
      <c r="N40" s="136" t="s">
        <v>6</v>
      </c>
    </row>
  </sheetData>
  <mergeCells count="5">
    <mergeCell ref="A1:M1"/>
    <mergeCell ref="A16:N16"/>
    <mergeCell ref="D35:K35"/>
    <mergeCell ref="D36:K36"/>
    <mergeCell ref="C37:D37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0308-0BA3-4A9D-B810-40CDEA9E8204}">
  <sheetPr>
    <tabColor theme="0"/>
    <pageSetUpPr fitToPage="1"/>
  </sheetPr>
  <dimension ref="A1:M40"/>
  <sheetViews>
    <sheetView showGridLines="0" topLeftCell="A4" zoomScale="75" zoomScaleNormal="75" zoomScaleSheetLayoutView="75" workbookViewId="0">
      <selection activeCell="F14" sqref="F14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9" width="13.26953125" style="129" customWidth="1"/>
    <col min="10" max="10" width="11.54296875" style="129" customWidth="1"/>
    <col min="11" max="11" width="17.54296875" style="129" customWidth="1"/>
    <col min="12" max="12" width="22.453125" style="129" bestFit="1" customWidth="1"/>
    <col min="13" max="13" width="19.26953125" style="129" customWidth="1"/>
    <col min="14" max="16384" width="10.90625" style="129"/>
  </cols>
  <sheetData>
    <row r="1" spans="1:13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23</v>
      </c>
      <c r="K2" s="69" t="s">
        <v>38</v>
      </c>
      <c r="L2" s="70" t="s">
        <v>39</v>
      </c>
    </row>
    <row r="3" spans="1:13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f>4853334+6181+8500+36975+56000+2500-339863</f>
        <v>4623627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v>360231.18300000002</v>
      </c>
      <c r="K3" s="75">
        <f>SUM(F3:J3)</f>
        <v>1995605.4000000001</v>
      </c>
      <c r="L3" s="77">
        <f>+E3-K3</f>
        <v>2628021.5999999996</v>
      </c>
    </row>
    <row r="4" spans="1:13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80"/>
      <c r="L4" s="77"/>
    </row>
    <row r="5" spans="1:13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+ENERO2021!E5-10</f>
        <v>31466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v>2713.4549999999999</v>
      </c>
      <c r="K5" s="75">
        <f>SUM(F5:J5)</f>
        <v>13105.727000000001</v>
      </c>
      <c r="L5" s="77">
        <f>+E5-K5</f>
        <v>18360.273000000001</v>
      </c>
    </row>
    <row r="6" spans="1:13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78"/>
      <c r="L6" s="86"/>
    </row>
    <row r="7" spans="1:13" x14ac:dyDescent="0.35">
      <c r="A7" s="72">
        <v>8</v>
      </c>
      <c r="B7" s="87"/>
      <c r="C7" s="74" t="s">
        <v>36</v>
      </c>
      <c r="D7" s="75">
        <f t="shared" ref="D7:J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:I7" si="1">+H8+H10+H9</f>
        <v>5056.1859999999997</v>
      </c>
      <c r="I7" s="75">
        <f t="shared" si="1"/>
        <v>0</v>
      </c>
      <c r="J7" s="75">
        <f t="shared" si="0"/>
        <v>8329.3080000000009</v>
      </c>
      <c r="K7" s="75">
        <f>SUM(F7:J7)</f>
        <v>13385.494000000001</v>
      </c>
      <c r="L7" s="77">
        <f>SUM(L8:L10)</f>
        <v>24053.506000000001</v>
      </c>
    </row>
    <row r="8" spans="1:13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v>8329.3080000000009</v>
      </c>
      <c r="K8" s="90">
        <f>SUM(F8:J8)</f>
        <v>13385.494000000001</v>
      </c>
      <c r="L8" s="91">
        <f>+E8-K8</f>
        <v>24053.506000000001</v>
      </c>
    </row>
    <row r="9" spans="1:13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/>
      <c r="K9" s="90">
        <f>SUM(F9:J9)</f>
        <v>0</v>
      </c>
      <c r="L9" s="91"/>
    </row>
    <row r="10" spans="1:13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v>0</v>
      </c>
      <c r="K10" s="90">
        <f>SUM(F10:J10)</f>
        <v>0</v>
      </c>
      <c r="L10" s="91">
        <f>+E10-K10</f>
        <v>0</v>
      </c>
    </row>
    <row r="11" spans="1:13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0"/>
      <c r="K11" s="93"/>
      <c r="L11" s="91"/>
    </row>
    <row r="12" spans="1:13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v>10</v>
      </c>
      <c r="F12" s="93"/>
      <c r="G12" s="93"/>
      <c r="H12" s="93"/>
      <c r="I12" s="93"/>
      <c r="J12" s="93"/>
      <c r="K12" s="90">
        <f>SUM(F12:J12)</f>
        <v>0</v>
      </c>
      <c r="L12" s="91">
        <f>+E12-K12</f>
        <v>10</v>
      </c>
    </row>
    <row r="13" spans="1:13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+ENERO2021!E13+62060</f>
        <v>92959</v>
      </c>
      <c r="F13" s="93"/>
      <c r="G13" s="93">
        <v>0</v>
      </c>
      <c r="H13" s="93">
        <v>1840</v>
      </c>
      <c r="I13" s="93"/>
      <c r="J13" s="93"/>
      <c r="K13" s="90"/>
      <c r="L13" s="91"/>
    </row>
    <row r="14" spans="1:13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v>339863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0">
        <f>SUM(F14:J14)</f>
        <v>0</v>
      </c>
      <c r="L14" s="77">
        <f>+E14-K14</f>
        <v>339863</v>
      </c>
    </row>
    <row r="15" spans="1:13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L15" si="2">+E3+E5+E7+E12+E13+E14</f>
        <v>5125364</v>
      </c>
      <c r="F15" s="101">
        <f t="shared" si="2"/>
        <v>348083.76699999999</v>
      </c>
      <c r="G15" s="101">
        <f t="shared" si="2"/>
        <v>421226.05200000003</v>
      </c>
      <c r="H15" s="101">
        <f t="shared" si="2"/>
        <v>538907.00699999998</v>
      </c>
      <c r="I15" s="101">
        <f t="shared" ref="I15" si="3">+I3+I5+I7+I12+I13+I14</f>
        <v>344445.84899999999</v>
      </c>
      <c r="J15" s="101">
        <f t="shared" si="2"/>
        <v>371273.94600000005</v>
      </c>
      <c r="K15" s="101">
        <f t="shared" si="2"/>
        <v>2022096.621</v>
      </c>
      <c r="L15" s="101">
        <f t="shared" si="2"/>
        <v>3010308.3789999997</v>
      </c>
    </row>
    <row r="16" spans="1:13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</row>
    <row r="17" spans="1:13" ht="19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23</v>
      </c>
      <c r="K17" s="105" t="s">
        <v>65</v>
      </c>
      <c r="L17" s="106" t="s">
        <v>15</v>
      </c>
      <c r="M17" s="107" t="s">
        <v>81</v>
      </c>
    </row>
    <row r="18" spans="1:13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f>+ENERO2021!E19+6181</f>
        <v>3579571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75">
        <v>251715.283</v>
      </c>
      <c r="K18" s="109">
        <f t="shared" ref="K18:K28" si="4">SUM(F18:J18)</f>
        <v>1425904.7510000002</v>
      </c>
      <c r="L18" s="77">
        <f>+E18-K18</f>
        <v>2153666.2489999998</v>
      </c>
      <c r="M18" s="110">
        <f t="shared" ref="M18:M30" si="5">IFERROR(+K18/E18,0)</f>
        <v>0.39834515113682623</v>
      </c>
    </row>
    <row r="19" spans="1:13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f>806478+8500+36975+56000+2500</f>
        <v>910453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75">
        <v>50213.232000000004</v>
      </c>
      <c r="K19" s="109">
        <f t="shared" si="4"/>
        <v>200119.69099999999</v>
      </c>
      <c r="L19" s="77">
        <f>+E19-K19</f>
        <v>710333.30900000001</v>
      </c>
      <c r="M19" s="110">
        <f t="shared" si="5"/>
        <v>0.21980233026855861</v>
      </c>
    </row>
    <row r="20" spans="1:13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75">
        <v>0</v>
      </c>
      <c r="K20" s="109">
        <f t="shared" si="4"/>
        <v>0</v>
      </c>
      <c r="L20" s="77">
        <f>+E20-K20</f>
        <v>0</v>
      </c>
      <c r="M20" s="110">
        <f t="shared" si="5"/>
        <v>0</v>
      </c>
    </row>
    <row r="21" spans="1:13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75">
        <v>27101.806</v>
      </c>
      <c r="K21" s="109">
        <f t="shared" si="4"/>
        <v>140110.084</v>
      </c>
      <c r="L21" s="77">
        <f>+E21-K21</f>
        <v>370794.91599999997</v>
      </c>
      <c r="M21" s="110">
        <f t="shared" si="5"/>
        <v>0.27423901508108162</v>
      </c>
    </row>
    <row r="22" spans="1:13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75">
        <v>0</v>
      </c>
      <c r="K22" s="109">
        <f t="shared" si="4"/>
        <v>0</v>
      </c>
      <c r="L22" s="77">
        <f>+E22-K22</f>
        <v>0</v>
      </c>
      <c r="M22" s="110">
        <f t="shared" si="5"/>
        <v>0</v>
      </c>
    </row>
    <row r="23" spans="1:13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124435</v>
      </c>
      <c r="F23" s="75">
        <f t="shared" ref="F23:J23" si="6">SUM(F24:F28)</f>
        <v>0</v>
      </c>
      <c r="G23" s="75">
        <v>2626.6329999999998</v>
      </c>
      <c r="H23" s="75">
        <f t="shared" ref="H23:I23" si="7">SUM(H24:H28)</f>
        <v>0</v>
      </c>
      <c r="I23" s="75">
        <f t="shared" si="7"/>
        <v>0</v>
      </c>
      <c r="J23" s="75">
        <f t="shared" si="6"/>
        <v>0</v>
      </c>
      <c r="K23" s="109">
        <f t="shared" si="4"/>
        <v>2626.6329999999998</v>
      </c>
      <c r="L23" s="77">
        <f>SUM(L24:L28)</f>
        <v>121808.367</v>
      </c>
      <c r="M23" s="110">
        <f t="shared" si="5"/>
        <v>2.1108474303853417E-2</v>
      </c>
    </row>
    <row r="24" spans="1:13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90">
        <v>0</v>
      </c>
      <c r="K24" s="115">
        <f t="shared" si="4"/>
        <v>0</v>
      </c>
      <c r="L24" s="91">
        <f>+E24-K24</f>
        <v>0</v>
      </c>
      <c r="M24" s="110">
        <f t="shared" si="5"/>
        <v>0</v>
      </c>
    </row>
    <row r="25" spans="1:13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+ENERO2021!E26+5000</f>
        <v>6423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90">
        <v>0</v>
      </c>
      <c r="K25" s="115">
        <f t="shared" si="4"/>
        <v>0</v>
      </c>
      <c r="L25" s="91">
        <f>+E25-K25</f>
        <v>6423</v>
      </c>
      <c r="M25" s="110">
        <f t="shared" si="5"/>
        <v>0</v>
      </c>
    </row>
    <row r="26" spans="1:13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v>10000</v>
      </c>
      <c r="F26" s="90">
        <f>+ENERO2021!F27</f>
        <v>0</v>
      </c>
      <c r="G26" s="90">
        <v>0</v>
      </c>
      <c r="H26" s="90">
        <v>0</v>
      </c>
      <c r="I26" s="90">
        <v>0</v>
      </c>
      <c r="J26" s="90">
        <v>0</v>
      </c>
      <c r="K26" s="115">
        <f t="shared" si="4"/>
        <v>0</v>
      </c>
      <c r="L26" s="91">
        <f>+E26-K26</f>
        <v>10000</v>
      </c>
      <c r="M26" s="110">
        <f t="shared" si="5"/>
        <v>0</v>
      </c>
    </row>
    <row r="27" spans="1:13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+ENERO2021!E28+40000</f>
        <v>41340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90">
        <v>0</v>
      </c>
      <c r="K27" s="115">
        <f t="shared" si="4"/>
        <v>0</v>
      </c>
      <c r="L27" s="91">
        <f>+E27-K27</f>
        <v>41340</v>
      </c>
      <c r="M27" s="110">
        <f t="shared" si="5"/>
        <v>0</v>
      </c>
    </row>
    <row r="28" spans="1:13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+ENERO2021!E29+7060</f>
        <v>66672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90">
        <v>0</v>
      </c>
      <c r="K28" s="115">
        <f t="shared" si="4"/>
        <v>2626.6329999999998</v>
      </c>
      <c r="L28" s="91">
        <f>+E28-K28</f>
        <v>64045.366999999998</v>
      </c>
      <c r="M28" s="110">
        <f t="shared" si="5"/>
        <v>3.9396343292536593E-2</v>
      </c>
    </row>
    <row r="29" spans="1:13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90"/>
      <c r="K29" s="116"/>
      <c r="L29" s="91"/>
      <c r="M29" s="110">
        <f t="shared" si="5"/>
        <v>0</v>
      </c>
    </row>
    <row r="30" spans="1:13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f>+D30</f>
        <v>0</v>
      </c>
      <c r="F30" s="96">
        <v>0</v>
      </c>
      <c r="G30" s="96">
        <v>179135.307</v>
      </c>
      <c r="H30" s="96">
        <v>0</v>
      </c>
      <c r="I30" s="96">
        <v>0</v>
      </c>
      <c r="J30" s="96">
        <v>0</v>
      </c>
      <c r="K30" s="160">
        <f>SUM(F30:J30)</f>
        <v>179135.307</v>
      </c>
      <c r="L30" s="77">
        <f>+E30-K30</f>
        <v>-179135.307</v>
      </c>
      <c r="M30" s="110">
        <f t="shared" si="5"/>
        <v>0</v>
      </c>
    </row>
    <row r="31" spans="1:13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93"/>
      <c r="K31" s="116"/>
      <c r="L31" s="91"/>
      <c r="M31" s="117"/>
    </row>
    <row r="32" spans="1:13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96"/>
      <c r="K32" s="115">
        <f>SUM(F32:J32)</f>
        <v>0</v>
      </c>
      <c r="L32" s="91">
        <v>0</v>
      </c>
      <c r="M32" s="117"/>
    </row>
    <row r="33" spans="1:13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5125364</v>
      </c>
      <c r="F33" s="120">
        <f t="shared" ref="F33:L33" si="8">+F32+F30+F23+F22+F21+F20+F19+F18</f>
        <v>283060.81</v>
      </c>
      <c r="G33" s="120">
        <f t="shared" si="8"/>
        <v>469401.46100000001</v>
      </c>
      <c r="H33" s="120">
        <f t="shared" si="8"/>
        <v>533505.63800000004</v>
      </c>
      <c r="I33" s="120">
        <f t="shared" ref="I33" si="9">+I32+I30+I23+I22+I21+I20+I19+I18</f>
        <v>332898.23599999998</v>
      </c>
      <c r="J33" s="120">
        <f t="shared" si="8"/>
        <v>329030.321</v>
      </c>
      <c r="K33" s="120">
        <f>+K32+K30+K23+K22+K21+K20+K19+K18</f>
        <v>1947896.466</v>
      </c>
      <c r="L33" s="121">
        <f t="shared" si="8"/>
        <v>3177467.534</v>
      </c>
      <c r="M33" s="122">
        <f>+K33/E33</f>
        <v>0.38005036637397849</v>
      </c>
    </row>
    <row r="34" spans="1:13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5.5227455064654922E-2</v>
      </c>
      <c r="G34" s="127">
        <f t="shared" ref="G34:J34" si="10">+G33/$E$33</f>
        <v>9.1584024276129467E-2</v>
      </c>
      <c r="H34" s="127">
        <f t="shared" si="10"/>
        <v>0.10409126805432746</v>
      </c>
      <c r="I34" s="127">
        <f t="shared" ref="I34" si="11">+I33/$E$33</f>
        <v>6.4951140250721698E-2</v>
      </c>
      <c r="J34" s="127">
        <f t="shared" si="10"/>
        <v>6.4196478728144962E-2</v>
      </c>
      <c r="K34" s="127">
        <f>+K33/E33</f>
        <v>0.38005036637397849</v>
      </c>
      <c r="L34" s="127">
        <f>+L33/E33</f>
        <v>0.61994963362602151</v>
      </c>
      <c r="M34" s="128"/>
    </row>
    <row r="35" spans="1:13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2"/>
      <c r="K35" s="134">
        <f>+K33</f>
        <v>1947896.466</v>
      </c>
      <c r="L35" s="134">
        <f>+L33</f>
        <v>3177467.534</v>
      </c>
      <c r="M35" s="136"/>
    </row>
    <row r="36" spans="1:13" x14ac:dyDescent="0.35">
      <c r="C36" s="136"/>
      <c r="D36" s="161" t="s">
        <v>9</v>
      </c>
      <c r="E36" s="161"/>
      <c r="F36" s="161"/>
      <c r="G36" s="161"/>
      <c r="H36" s="161"/>
      <c r="I36" s="161"/>
      <c r="J36" s="161"/>
      <c r="K36" s="159">
        <f>+K35/E33</f>
        <v>0.38005036637397849</v>
      </c>
      <c r="L36" s="162">
        <f>+L35/E33</f>
        <v>0.61994963362602151</v>
      </c>
      <c r="M36" s="155"/>
    </row>
    <row r="37" spans="1:13" x14ac:dyDescent="0.35">
      <c r="C37" s="143"/>
      <c r="D37" s="143"/>
      <c r="E37" s="136"/>
      <c r="F37" s="136"/>
      <c r="G37" s="136"/>
      <c r="H37" s="136"/>
      <c r="I37" s="136"/>
      <c r="J37" s="136"/>
      <c r="K37" s="162">
        <f>(3/12)</f>
        <v>0.25</v>
      </c>
      <c r="L37" s="162">
        <f>+(9/12)</f>
        <v>0.75</v>
      </c>
    </row>
    <row r="38" spans="1:13" hidden="1" x14ac:dyDescent="0.35">
      <c r="E38" s="136"/>
      <c r="F38" s="136"/>
      <c r="G38" s="136"/>
      <c r="H38" s="136"/>
      <c r="I38" s="136"/>
      <c r="J38" s="136"/>
      <c r="K38" s="163">
        <f>+K36-K37</f>
        <v>0.13005036637397849</v>
      </c>
      <c r="L38" s="155"/>
    </row>
    <row r="39" spans="1:13" x14ac:dyDescent="0.35">
      <c r="C39" s="130"/>
      <c r="D39" s="130"/>
      <c r="E39" s="136">
        <f>+E15-E33</f>
        <v>0</v>
      </c>
      <c r="F39" s="136"/>
      <c r="G39" s="136"/>
      <c r="H39" s="136"/>
      <c r="I39" s="136"/>
      <c r="J39" s="136"/>
      <c r="K39" s="164">
        <f>+IF(+K38&gt;0,+K38,0)</f>
        <v>0.13005036637397849</v>
      </c>
      <c r="M39" s="136" t="s">
        <v>6</v>
      </c>
    </row>
    <row r="40" spans="1:13" x14ac:dyDescent="0.35">
      <c r="D40" s="149"/>
      <c r="E40" s="136"/>
      <c r="F40" s="136"/>
      <c r="G40" s="136"/>
      <c r="H40" s="136"/>
      <c r="I40" s="136"/>
      <c r="J40" s="136"/>
      <c r="K40" s="165">
        <f>+IF(+K38&gt;0,0,-K38)</f>
        <v>0</v>
      </c>
      <c r="M40" s="136" t="s">
        <v>6</v>
      </c>
    </row>
  </sheetData>
  <mergeCells count="5">
    <mergeCell ref="A16:M16"/>
    <mergeCell ref="D35:J35"/>
    <mergeCell ref="D36:J36"/>
    <mergeCell ref="C37:D37"/>
    <mergeCell ref="A1:L1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2BCF-CB5D-4F44-8F67-E86692877EC0}">
  <sheetPr>
    <tabColor theme="0"/>
    <pageSetUpPr fitToPage="1"/>
  </sheetPr>
  <dimension ref="A1:L41"/>
  <sheetViews>
    <sheetView showGridLines="0" zoomScale="75" zoomScaleNormal="75" zoomScaleSheetLayoutView="75" workbookViewId="0">
      <selection activeCell="D7" sqref="D7:D8"/>
    </sheetView>
  </sheetViews>
  <sheetFormatPr baseColWidth="10" defaultRowHeight="14.5" x14ac:dyDescent="0.35"/>
  <cols>
    <col min="1" max="1" width="8" style="129" bestFit="1" customWidth="1"/>
    <col min="2" max="2" width="7.54296875" style="129" customWidth="1"/>
    <col min="3" max="3" width="43" style="129" customWidth="1"/>
    <col min="4" max="4" width="16.81640625" style="129" customWidth="1"/>
    <col min="5" max="5" width="14.81640625" style="129" customWidth="1"/>
    <col min="6" max="8" width="13.26953125" style="129" customWidth="1"/>
    <col min="9" max="9" width="11.54296875" style="129" customWidth="1"/>
    <col min="10" max="10" width="17.54296875" style="129" customWidth="1"/>
    <col min="11" max="11" width="22.453125" style="129" bestFit="1" customWidth="1"/>
    <col min="12" max="12" width="19.26953125" style="129" customWidth="1"/>
    <col min="13" max="16384" width="10.90625" style="129"/>
  </cols>
  <sheetData>
    <row r="1" spans="1:12" ht="15" thickBot="1" x14ac:dyDescent="0.4">
      <c r="A1" s="152" t="s">
        <v>33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2" ht="15" thickTop="1" x14ac:dyDescent="0.35">
      <c r="A2" s="66" t="s">
        <v>0</v>
      </c>
      <c r="B2" s="67" t="s">
        <v>1</v>
      </c>
      <c r="C2" s="68" t="s">
        <v>2</v>
      </c>
      <c r="D2" s="68" t="s">
        <v>16</v>
      </c>
      <c r="E2" s="69" t="s">
        <v>3</v>
      </c>
      <c r="F2" s="69" t="s">
        <v>5</v>
      </c>
      <c r="G2" s="69" t="s">
        <v>40</v>
      </c>
      <c r="H2" s="69" t="s">
        <v>17</v>
      </c>
      <c r="I2" s="69" t="s">
        <v>18</v>
      </c>
      <c r="J2" s="69" t="s">
        <v>38</v>
      </c>
      <c r="K2" s="70" t="s">
        <v>39</v>
      </c>
    </row>
    <row r="3" spans="1:12" x14ac:dyDescent="0.35">
      <c r="A3" s="72">
        <v>5</v>
      </c>
      <c r="B3" s="73"/>
      <c r="C3" s="74" t="s">
        <v>24</v>
      </c>
      <c r="D3" s="75">
        <f>+ENERO2021!D3</f>
        <v>4757859</v>
      </c>
      <c r="E3" s="76">
        <v>4853334</v>
      </c>
      <c r="F3" s="75">
        <f>+ENERO2021!F3</f>
        <v>346000</v>
      </c>
      <c r="G3" s="75">
        <v>418584.22100000002</v>
      </c>
      <c r="H3" s="75">
        <v>529500.04500000004</v>
      </c>
      <c r="I3" s="75">
        <v>341289.951</v>
      </c>
      <c r="J3" s="75">
        <f>SUM(F3:I3)</f>
        <v>1635374.2170000002</v>
      </c>
      <c r="K3" s="77">
        <f>+E3-J3</f>
        <v>3217959.7829999998</v>
      </c>
    </row>
    <row r="4" spans="1:12" x14ac:dyDescent="0.35">
      <c r="A4" s="72"/>
      <c r="B4" s="78"/>
      <c r="C4" s="79"/>
      <c r="D4" s="80"/>
      <c r="E4" s="81"/>
      <c r="F4" s="80"/>
      <c r="G4" s="80"/>
      <c r="H4" s="80"/>
      <c r="I4" s="80"/>
      <c r="J4" s="80"/>
      <c r="K4" s="77"/>
    </row>
    <row r="5" spans="1:12" x14ac:dyDescent="0.35">
      <c r="A5" s="72">
        <v>6</v>
      </c>
      <c r="B5" s="82"/>
      <c r="C5" s="74" t="s">
        <v>34</v>
      </c>
      <c r="D5" s="75">
        <f>+ENERO2021!D5</f>
        <v>31476</v>
      </c>
      <c r="E5" s="83">
        <f>+ENERO2021!E5</f>
        <v>31476</v>
      </c>
      <c r="F5" s="75">
        <f>+ENERO2021!F5</f>
        <v>2083.7669999999998</v>
      </c>
      <c r="G5" s="75">
        <v>2641.8310000000001</v>
      </c>
      <c r="H5" s="75">
        <v>2510.7759999999998</v>
      </c>
      <c r="I5" s="75">
        <v>3155.8980000000001</v>
      </c>
      <c r="J5" s="75">
        <f>SUM(F5:I5)</f>
        <v>10392.272000000001</v>
      </c>
      <c r="K5" s="77">
        <f>+E5-J5</f>
        <v>21083.727999999999</v>
      </c>
    </row>
    <row r="6" spans="1:12" x14ac:dyDescent="0.35">
      <c r="A6" s="84"/>
      <c r="B6" s="78"/>
      <c r="C6" s="78"/>
      <c r="D6" s="78"/>
      <c r="E6" s="85"/>
      <c r="F6" s="78"/>
      <c r="G6" s="78"/>
      <c r="H6" s="78"/>
      <c r="I6" s="78"/>
      <c r="J6" s="78"/>
      <c r="K6" s="86"/>
    </row>
    <row r="7" spans="1:12" x14ac:dyDescent="0.35">
      <c r="A7" s="72">
        <v>8</v>
      </c>
      <c r="B7" s="87"/>
      <c r="C7" s="74" t="s">
        <v>36</v>
      </c>
      <c r="D7" s="75">
        <f t="shared" ref="D7:I7" si="0">+D8+D10+D9</f>
        <v>37439</v>
      </c>
      <c r="E7" s="75">
        <f t="shared" si="0"/>
        <v>37439</v>
      </c>
      <c r="F7" s="75">
        <f t="shared" si="0"/>
        <v>0</v>
      </c>
      <c r="G7" s="75">
        <v>0</v>
      </c>
      <c r="H7" s="75">
        <f t="shared" ref="H7" si="1">+H8+H10+H9</f>
        <v>5056.1859999999997</v>
      </c>
      <c r="I7" s="75">
        <f t="shared" si="0"/>
        <v>0</v>
      </c>
      <c r="J7" s="75">
        <f>SUM(F7:I7)</f>
        <v>5056.1859999999997</v>
      </c>
      <c r="K7" s="77">
        <f>SUM(K8:K10)</f>
        <v>32382.813999999998</v>
      </c>
    </row>
    <row r="8" spans="1:12" x14ac:dyDescent="0.35">
      <c r="A8" s="72"/>
      <c r="B8" s="88" t="s">
        <v>19</v>
      </c>
      <c r="C8" s="89" t="s">
        <v>50</v>
      </c>
      <c r="D8" s="90">
        <f>+ENERO2021!D8</f>
        <v>37439</v>
      </c>
      <c r="E8" s="90">
        <f>+ENERO2021!E8</f>
        <v>37439</v>
      </c>
      <c r="F8" s="90">
        <f>+ENERO2021!F8</f>
        <v>0</v>
      </c>
      <c r="G8" s="90"/>
      <c r="H8" s="90">
        <v>5056.1859999999997</v>
      </c>
      <c r="I8" s="90"/>
      <c r="J8" s="90">
        <f>SUM(F8:I8)</f>
        <v>5056.1859999999997</v>
      </c>
      <c r="K8" s="91">
        <f>+E8-J8</f>
        <v>32382.813999999998</v>
      </c>
    </row>
    <row r="9" spans="1:12" x14ac:dyDescent="0.35">
      <c r="A9" s="72"/>
      <c r="B9" s="88" t="s">
        <v>59</v>
      </c>
      <c r="C9" s="89" t="s">
        <v>60</v>
      </c>
      <c r="D9" s="90">
        <f>+ENERO2021!D9</f>
        <v>0</v>
      </c>
      <c r="E9" s="90">
        <f>+ENERO2021!E9</f>
        <v>0</v>
      </c>
      <c r="F9" s="90">
        <f>+ENERO2021!F9</f>
        <v>0</v>
      </c>
      <c r="G9" s="90"/>
      <c r="H9" s="90"/>
      <c r="I9" s="90"/>
      <c r="J9" s="90">
        <f>SUM(F9:I9)</f>
        <v>0</v>
      </c>
      <c r="K9" s="91"/>
    </row>
    <row r="10" spans="1:12" x14ac:dyDescent="0.35">
      <c r="A10" s="72"/>
      <c r="B10" s="88" t="s">
        <v>35</v>
      </c>
      <c r="C10" s="89" t="s">
        <v>51</v>
      </c>
      <c r="D10" s="90">
        <f>+ENERO2021!D10</f>
        <v>0</v>
      </c>
      <c r="E10" s="90">
        <f>+ENERO2021!E10</f>
        <v>0</v>
      </c>
      <c r="F10" s="90">
        <f>+ENERO2021!F10</f>
        <v>0</v>
      </c>
      <c r="G10" s="90">
        <v>0</v>
      </c>
      <c r="H10" s="90">
        <v>0</v>
      </c>
      <c r="I10" s="90">
        <v>0</v>
      </c>
      <c r="J10" s="90">
        <f>SUM(F10:I10)</f>
        <v>0</v>
      </c>
      <c r="K10" s="91">
        <f>+E10-J10</f>
        <v>0</v>
      </c>
    </row>
    <row r="11" spans="1:12" x14ac:dyDescent="0.35">
      <c r="A11" s="92"/>
      <c r="B11" s="88"/>
      <c r="C11" s="93"/>
      <c r="D11" s="90"/>
      <c r="E11" s="94"/>
      <c r="F11" s="90"/>
      <c r="G11" s="90"/>
      <c r="H11" s="90"/>
      <c r="I11" s="90"/>
      <c r="J11" s="93"/>
      <c r="K11" s="91"/>
    </row>
    <row r="12" spans="1:12" x14ac:dyDescent="0.35">
      <c r="A12" s="72">
        <v>12</v>
      </c>
      <c r="B12" s="95"/>
      <c r="C12" s="74" t="s">
        <v>86</v>
      </c>
      <c r="D12" s="93">
        <f>+ENERO2021!D12</f>
        <v>0</v>
      </c>
      <c r="E12" s="85">
        <f>+ENERO2021!E12</f>
        <v>0</v>
      </c>
      <c r="F12" s="93"/>
      <c r="G12" s="93"/>
      <c r="H12" s="93"/>
      <c r="I12" s="93"/>
      <c r="J12" s="90">
        <f>SUM(F12:I12)</f>
        <v>0</v>
      </c>
      <c r="K12" s="91">
        <f>+E12-J12</f>
        <v>0</v>
      </c>
    </row>
    <row r="13" spans="1:12" x14ac:dyDescent="0.35">
      <c r="A13" s="72">
        <v>13</v>
      </c>
      <c r="B13" s="95"/>
      <c r="C13" s="74" t="s">
        <v>95</v>
      </c>
      <c r="D13" s="90">
        <f>+ENERO2021!D13</f>
        <v>30899</v>
      </c>
      <c r="E13" s="94">
        <f>+ENERO2021!E13</f>
        <v>30899</v>
      </c>
      <c r="F13" s="93"/>
      <c r="G13" s="93">
        <v>0</v>
      </c>
      <c r="H13" s="93">
        <v>1840</v>
      </c>
      <c r="I13" s="93"/>
      <c r="J13" s="90"/>
      <c r="K13" s="91"/>
    </row>
    <row r="14" spans="1:12" x14ac:dyDescent="0.35">
      <c r="A14" s="72">
        <v>15</v>
      </c>
      <c r="B14" s="95"/>
      <c r="C14" s="74" t="s">
        <v>37</v>
      </c>
      <c r="D14" s="96">
        <f>+ENERO2021!D14</f>
        <v>0</v>
      </c>
      <c r="E14" s="97">
        <f>+ENERO2021!E14</f>
        <v>0</v>
      </c>
      <c r="F14" s="96">
        <v>0</v>
      </c>
      <c r="G14" s="96">
        <v>0</v>
      </c>
      <c r="H14" s="96">
        <v>0</v>
      </c>
      <c r="I14" s="96">
        <v>0</v>
      </c>
      <c r="J14" s="90">
        <f>SUM(F14:I14)</f>
        <v>0</v>
      </c>
      <c r="K14" s="77">
        <f>+E14-J14</f>
        <v>0</v>
      </c>
    </row>
    <row r="15" spans="1:12" ht="15" thickBot="1" x14ac:dyDescent="0.4">
      <c r="A15" s="98"/>
      <c r="B15" s="99"/>
      <c r="C15" s="100" t="s">
        <v>4</v>
      </c>
      <c r="D15" s="101">
        <f>+D3+D5+D7+D12+D13+D14</f>
        <v>4857673</v>
      </c>
      <c r="E15" s="101">
        <f t="shared" ref="E15:K15" si="2">+E3+E5+E7+E12+E13+E14</f>
        <v>4953148</v>
      </c>
      <c r="F15" s="101">
        <f t="shared" si="2"/>
        <v>348083.76699999999</v>
      </c>
      <c r="G15" s="101">
        <f t="shared" si="2"/>
        <v>421226.05200000003</v>
      </c>
      <c r="H15" s="101">
        <f t="shared" ref="H15" si="3">+H3+H5+H7+H12+H13+H14</f>
        <v>538907.00699999998</v>
      </c>
      <c r="I15" s="101">
        <f t="shared" si="2"/>
        <v>344445.84899999999</v>
      </c>
      <c r="J15" s="101">
        <f t="shared" si="2"/>
        <v>1650822.6750000003</v>
      </c>
      <c r="K15" s="101">
        <f t="shared" si="2"/>
        <v>3271426.3249999997</v>
      </c>
    </row>
    <row r="16" spans="1:12" ht="15.5" thickTop="1" thickBot="1" x14ac:dyDescent="0.4">
      <c r="A16" s="152" t="s">
        <v>96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</row>
    <row r="17" spans="1:12" ht="22.5" customHeight="1" thickTop="1" x14ac:dyDescent="0.35">
      <c r="A17" s="102" t="s">
        <v>0</v>
      </c>
      <c r="B17" s="103" t="s">
        <v>1</v>
      </c>
      <c r="C17" s="104" t="s">
        <v>2</v>
      </c>
      <c r="D17" s="104" t="s">
        <v>16</v>
      </c>
      <c r="E17" s="104" t="s">
        <v>3</v>
      </c>
      <c r="F17" s="105" t="s">
        <v>5</v>
      </c>
      <c r="G17" s="105" t="s">
        <v>40</v>
      </c>
      <c r="H17" s="105" t="s">
        <v>17</v>
      </c>
      <c r="I17" s="105" t="s">
        <v>18</v>
      </c>
      <c r="J17" s="105" t="s">
        <v>65</v>
      </c>
      <c r="K17" s="106" t="s">
        <v>15</v>
      </c>
      <c r="L17" s="107" t="s">
        <v>81</v>
      </c>
    </row>
    <row r="18" spans="1:12" x14ac:dyDescent="0.35">
      <c r="A18" s="72">
        <v>21</v>
      </c>
      <c r="B18" s="108"/>
      <c r="C18" s="74" t="s">
        <v>52</v>
      </c>
      <c r="D18" s="75">
        <f>+ENERO2021!D19</f>
        <v>3573390</v>
      </c>
      <c r="E18" s="75">
        <f>+ENERO2021!E19</f>
        <v>3573390</v>
      </c>
      <c r="F18" s="75">
        <f>+ENERO2021!F19</f>
        <v>248675.761</v>
      </c>
      <c r="G18" s="75">
        <v>248120.367</v>
      </c>
      <c r="H18" s="75">
        <v>426964.80699999997</v>
      </c>
      <c r="I18" s="75">
        <v>250428.533</v>
      </c>
      <c r="J18" s="109">
        <f t="shared" ref="J18:J28" si="4">SUM(F18:I18)</f>
        <v>1174189.4680000001</v>
      </c>
      <c r="K18" s="77">
        <f>+E18-J18</f>
        <v>2399200.5319999997</v>
      </c>
      <c r="L18" s="110">
        <f t="shared" ref="L18:L30" si="5">IFERROR(+J18/E18,0)</f>
        <v>0.32859258799067553</v>
      </c>
    </row>
    <row r="19" spans="1:12" x14ac:dyDescent="0.35">
      <c r="A19" s="72">
        <v>22</v>
      </c>
      <c r="B19" s="111"/>
      <c r="C19" s="74" t="s">
        <v>53</v>
      </c>
      <c r="D19" s="75">
        <f>+ENERO2021!D20</f>
        <v>711003</v>
      </c>
      <c r="E19" s="75">
        <v>806478</v>
      </c>
      <c r="F19" s="75">
        <f>+ENERO2021!F20</f>
        <v>3024.1469999999999</v>
      </c>
      <c r="G19" s="75">
        <v>12722.98</v>
      </c>
      <c r="H19" s="75">
        <v>79019.615000000005</v>
      </c>
      <c r="I19" s="75">
        <v>55139.716999999997</v>
      </c>
      <c r="J19" s="109">
        <f t="shared" si="4"/>
        <v>149906.459</v>
      </c>
      <c r="K19" s="77">
        <f>+E19-J19</f>
        <v>656571.54099999997</v>
      </c>
      <c r="L19" s="110">
        <f t="shared" si="5"/>
        <v>0.18587792723422089</v>
      </c>
    </row>
    <row r="20" spans="1:12" x14ac:dyDescent="0.35">
      <c r="A20" s="72">
        <v>23</v>
      </c>
      <c r="B20" s="111"/>
      <c r="C20" s="74" t="s">
        <v>54</v>
      </c>
      <c r="D20" s="75">
        <f>+ENERO2021!D21</f>
        <v>0</v>
      </c>
      <c r="E20" s="75">
        <f>+ENERO2021!E21</f>
        <v>0</v>
      </c>
      <c r="F20" s="75">
        <f>+ENERO2021!F21</f>
        <v>0</v>
      </c>
      <c r="G20" s="75">
        <v>0</v>
      </c>
      <c r="H20" s="75">
        <v>0</v>
      </c>
      <c r="I20" s="75">
        <v>0</v>
      </c>
      <c r="J20" s="109">
        <f t="shared" si="4"/>
        <v>0</v>
      </c>
      <c r="K20" s="77">
        <f>+E20-J20</f>
        <v>0</v>
      </c>
      <c r="L20" s="110">
        <f t="shared" si="5"/>
        <v>0</v>
      </c>
    </row>
    <row r="21" spans="1:12" x14ac:dyDescent="0.35">
      <c r="A21" s="72">
        <v>24</v>
      </c>
      <c r="B21" s="111"/>
      <c r="C21" s="74" t="s">
        <v>24</v>
      </c>
      <c r="D21" s="75">
        <f>+ENERO2021!D22</f>
        <v>510905</v>
      </c>
      <c r="E21" s="75">
        <f>+ENERO2021!E22</f>
        <v>510905</v>
      </c>
      <c r="F21" s="75">
        <f>+ENERO2021!F22</f>
        <v>31360.901999999998</v>
      </c>
      <c r="G21" s="75">
        <v>26796.173999999999</v>
      </c>
      <c r="H21" s="75">
        <v>27521.216</v>
      </c>
      <c r="I21" s="75">
        <v>27329.986000000001</v>
      </c>
      <c r="J21" s="109">
        <f t="shared" si="4"/>
        <v>113008.27800000001</v>
      </c>
      <c r="K21" s="77">
        <f>+E21-J21</f>
        <v>397896.72200000001</v>
      </c>
      <c r="L21" s="110">
        <f t="shared" si="5"/>
        <v>0.22119235082843192</v>
      </c>
    </row>
    <row r="22" spans="1:12" x14ac:dyDescent="0.35">
      <c r="A22" s="72">
        <v>26</v>
      </c>
      <c r="B22" s="112"/>
      <c r="C22" s="74" t="s">
        <v>55</v>
      </c>
      <c r="D22" s="75">
        <f>+ENERO2021!D23</f>
        <v>0</v>
      </c>
      <c r="E22" s="75">
        <f>+ENERO2021!E23</f>
        <v>0</v>
      </c>
      <c r="F22" s="75">
        <f>+ENERO2021!F23</f>
        <v>0</v>
      </c>
      <c r="G22" s="75">
        <v>0</v>
      </c>
      <c r="H22" s="75">
        <v>0</v>
      </c>
      <c r="I22" s="75">
        <v>0</v>
      </c>
      <c r="J22" s="109">
        <f t="shared" si="4"/>
        <v>0</v>
      </c>
      <c r="K22" s="77">
        <f>+E22-J22</f>
        <v>0</v>
      </c>
      <c r="L22" s="110">
        <f t="shared" si="5"/>
        <v>0</v>
      </c>
    </row>
    <row r="23" spans="1:12" ht="15" thickTop="1" x14ac:dyDescent="0.35">
      <c r="A23" s="72">
        <v>29</v>
      </c>
      <c r="B23" s="113"/>
      <c r="C23" s="74" t="s">
        <v>56</v>
      </c>
      <c r="D23" s="75">
        <f>SUM(D24:D28)</f>
        <v>62375</v>
      </c>
      <c r="E23" s="75">
        <f>SUM(E24:E28)</f>
        <v>62375</v>
      </c>
      <c r="F23" s="75">
        <f t="shared" ref="F23:I23" si="6">SUM(F24:F28)</f>
        <v>0</v>
      </c>
      <c r="G23" s="75">
        <v>2626.6329999999998</v>
      </c>
      <c r="H23" s="75">
        <f t="shared" ref="H23" si="7">SUM(H24:H28)</f>
        <v>0</v>
      </c>
      <c r="I23" s="75">
        <f t="shared" si="6"/>
        <v>0</v>
      </c>
      <c r="J23" s="109">
        <f t="shared" si="4"/>
        <v>2626.6329999999998</v>
      </c>
      <c r="K23" s="77">
        <f>SUM(K24:K28)</f>
        <v>59748.366999999998</v>
      </c>
      <c r="L23" s="110">
        <f t="shared" si="5"/>
        <v>4.2110348697394787E-2</v>
      </c>
    </row>
    <row r="24" spans="1:12" x14ac:dyDescent="0.35">
      <c r="A24" s="72"/>
      <c r="B24" s="114" t="s">
        <v>20</v>
      </c>
      <c r="C24" s="89" t="s">
        <v>41</v>
      </c>
      <c r="D24" s="90">
        <f>+ENERO2021!D25</f>
        <v>0</v>
      </c>
      <c r="E24" s="90">
        <f>+ENERO2021!E25</f>
        <v>0</v>
      </c>
      <c r="F24" s="90">
        <f>+ENERO2021!F25</f>
        <v>0</v>
      </c>
      <c r="G24" s="90">
        <v>0</v>
      </c>
      <c r="H24" s="90">
        <v>0</v>
      </c>
      <c r="I24" s="90">
        <v>0</v>
      </c>
      <c r="J24" s="115">
        <f t="shared" si="4"/>
        <v>0</v>
      </c>
      <c r="K24" s="91">
        <f>+E24-J24</f>
        <v>0</v>
      </c>
      <c r="L24" s="110">
        <f t="shared" si="5"/>
        <v>0</v>
      </c>
    </row>
    <row r="25" spans="1:12" x14ac:dyDescent="0.35">
      <c r="A25" s="72"/>
      <c r="B25" s="114" t="s">
        <v>42</v>
      </c>
      <c r="C25" s="89" t="s">
        <v>45</v>
      </c>
      <c r="D25" s="90">
        <f>+ENERO2021!D26</f>
        <v>1423</v>
      </c>
      <c r="E25" s="90">
        <f>+ENERO2021!E26</f>
        <v>1423</v>
      </c>
      <c r="F25" s="90">
        <f>+ENERO2021!F26</f>
        <v>0</v>
      </c>
      <c r="G25" s="90">
        <v>0</v>
      </c>
      <c r="H25" s="90">
        <v>0</v>
      </c>
      <c r="I25" s="90">
        <v>0</v>
      </c>
      <c r="J25" s="115">
        <f t="shared" si="4"/>
        <v>0</v>
      </c>
      <c r="K25" s="91">
        <f>+E25-J25</f>
        <v>1423</v>
      </c>
      <c r="L25" s="110">
        <f t="shared" si="5"/>
        <v>0</v>
      </c>
    </row>
    <row r="26" spans="1:12" x14ac:dyDescent="0.35">
      <c r="A26" s="72"/>
      <c r="B26" s="114" t="s">
        <v>43</v>
      </c>
      <c r="C26" s="89" t="s">
        <v>46</v>
      </c>
      <c r="D26" s="90">
        <f>+ENERO2021!D27</f>
        <v>0</v>
      </c>
      <c r="E26" s="90">
        <f>+ENERO2021!E27</f>
        <v>0</v>
      </c>
      <c r="F26" s="90">
        <f>+ENERO2021!F27</f>
        <v>0</v>
      </c>
      <c r="G26" s="90">
        <v>0</v>
      </c>
      <c r="H26" s="90">
        <v>0</v>
      </c>
      <c r="I26" s="90">
        <v>0</v>
      </c>
      <c r="J26" s="115">
        <f t="shared" si="4"/>
        <v>0</v>
      </c>
      <c r="K26" s="91">
        <f>+E26-J26</f>
        <v>0</v>
      </c>
      <c r="L26" s="110">
        <f t="shared" si="5"/>
        <v>0</v>
      </c>
    </row>
    <row r="27" spans="1:12" x14ac:dyDescent="0.35">
      <c r="A27" s="72"/>
      <c r="B27" s="114" t="s">
        <v>21</v>
      </c>
      <c r="C27" s="93" t="s">
        <v>47</v>
      </c>
      <c r="D27" s="90">
        <f>+ENERO2021!D28</f>
        <v>1340</v>
      </c>
      <c r="E27" s="90">
        <f>+ENERO2021!E28</f>
        <v>1340</v>
      </c>
      <c r="F27" s="90">
        <f>+ENERO2021!F28</f>
        <v>0</v>
      </c>
      <c r="G27" s="90">
        <v>0</v>
      </c>
      <c r="H27" s="90">
        <v>0</v>
      </c>
      <c r="I27" s="90">
        <v>0</v>
      </c>
      <c r="J27" s="115">
        <f t="shared" si="4"/>
        <v>0</v>
      </c>
      <c r="K27" s="91">
        <f>+E27-J27</f>
        <v>1340</v>
      </c>
      <c r="L27" s="110">
        <f t="shared" si="5"/>
        <v>0</v>
      </c>
    </row>
    <row r="28" spans="1:12" x14ac:dyDescent="0.35">
      <c r="A28" s="72"/>
      <c r="B28" s="114" t="s">
        <v>44</v>
      </c>
      <c r="C28" s="93" t="s">
        <v>48</v>
      </c>
      <c r="D28" s="90">
        <f>+ENERO2021!D29</f>
        <v>59612</v>
      </c>
      <c r="E28" s="90">
        <f>+ENERO2021!E29</f>
        <v>59612</v>
      </c>
      <c r="F28" s="90">
        <f>+ENERO2021!F29</f>
        <v>0</v>
      </c>
      <c r="G28" s="90">
        <v>2626.6329999999998</v>
      </c>
      <c r="H28" s="90">
        <v>0</v>
      </c>
      <c r="I28" s="90">
        <v>0</v>
      </c>
      <c r="J28" s="115">
        <f t="shared" si="4"/>
        <v>2626.6329999999998</v>
      </c>
      <c r="K28" s="91">
        <f>+E28-J28</f>
        <v>56985.366999999998</v>
      </c>
      <c r="L28" s="110">
        <f t="shared" si="5"/>
        <v>4.4062151915721666E-2</v>
      </c>
    </row>
    <row r="29" spans="1:12" x14ac:dyDescent="0.35">
      <c r="A29" s="92"/>
      <c r="B29" s="114"/>
      <c r="C29" s="93"/>
      <c r="D29" s="90"/>
      <c r="E29" s="90"/>
      <c r="F29" s="90"/>
      <c r="G29" s="90"/>
      <c r="H29" s="90"/>
      <c r="I29" s="90"/>
      <c r="J29" s="116"/>
      <c r="K29" s="91"/>
      <c r="L29" s="110">
        <f t="shared" si="5"/>
        <v>0</v>
      </c>
    </row>
    <row r="30" spans="1:12" x14ac:dyDescent="0.35">
      <c r="A30" s="72">
        <v>34</v>
      </c>
      <c r="B30" s="114"/>
      <c r="C30" s="74" t="s">
        <v>22</v>
      </c>
      <c r="D30" s="96">
        <f>+ENERO2021!D31</f>
        <v>0</v>
      </c>
      <c r="E30" s="96">
        <f>+D30</f>
        <v>0</v>
      </c>
      <c r="F30" s="96">
        <v>0</v>
      </c>
      <c r="G30" s="96">
        <v>179135.307</v>
      </c>
      <c r="H30" s="96">
        <v>0</v>
      </c>
      <c r="I30" s="96">
        <v>0</v>
      </c>
      <c r="J30" s="160">
        <f>SUM(F30:I30)</f>
        <v>179135.307</v>
      </c>
      <c r="K30" s="77">
        <f>+E30-J30</f>
        <v>-179135.307</v>
      </c>
      <c r="L30" s="110">
        <f t="shared" si="5"/>
        <v>0</v>
      </c>
    </row>
    <row r="31" spans="1:12" x14ac:dyDescent="0.35">
      <c r="A31" s="72"/>
      <c r="B31" s="114"/>
      <c r="C31" s="93"/>
      <c r="D31" s="93"/>
      <c r="E31" s="93"/>
      <c r="F31" s="93"/>
      <c r="G31" s="93"/>
      <c r="H31" s="93"/>
      <c r="I31" s="93"/>
      <c r="J31" s="116"/>
      <c r="K31" s="91"/>
      <c r="L31" s="117"/>
    </row>
    <row r="32" spans="1:12" x14ac:dyDescent="0.35">
      <c r="A32" s="72">
        <v>35</v>
      </c>
      <c r="B32" s="114"/>
      <c r="C32" s="74" t="s">
        <v>14</v>
      </c>
      <c r="D32" s="96">
        <v>0</v>
      </c>
      <c r="E32" s="96">
        <f>+D32</f>
        <v>0</v>
      </c>
      <c r="F32" s="96"/>
      <c r="G32" s="96"/>
      <c r="H32" s="96"/>
      <c r="I32" s="96"/>
      <c r="J32" s="115">
        <f>SUM(F32:I32)</f>
        <v>0</v>
      </c>
      <c r="K32" s="91">
        <v>0</v>
      </c>
      <c r="L32" s="117"/>
    </row>
    <row r="33" spans="1:12" ht="15" thickBot="1" x14ac:dyDescent="0.4">
      <c r="A33" s="98"/>
      <c r="B33" s="118"/>
      <c r="C33" s="119" t="s">
        <v>4</v>
      </c>
      <c r="D33" s="120">
        <f>+D32+D30+D23+D22+D21+D20+D19+D18</f>
        <v>4857673</v>
      </c>
      <c r="E33" s="120">
        <f>+E32+E30+E23+E22+E21+E20+E19+E18</f>
        <v>4953148</v>
      </c>
      <c r="F33" s="120">
        <f t="shared" ref="F33:K33" si="8">+F32+F30+F23+F22+F21+F20+F19+F18</f>
        <v>283060.81</v>
      </c>
      <c r="G33" s="120">
        <f t="shared" si="8"/>
        <v>469401.46100000001</v>
      </c>
      <c r="H33" s="120">
        <f t="shared" ref="H33" si="9">+H32+H30+H23+H22+H21+H20+H19+H18</f>
        <v>533505.63800000004</v>
      </c>
      <c r="I33" s="120">
        <f t="shared" si="8"/>
        <v>332898.23599999998</v>
      </c>
      <c r="J33" s="120">
        <f>+J32+J30+J23+J22+J21+J20+J19+J18</f>
        <v>1618866.145</v>
      </c>
      <c r="K33" s="121">
        <f t="shared" si="8"/>
        <v>3334281.8549999995</v>
      </c>
      <c r="L33" s="122">
        <f>+J33/E33</f>
        <v>0.32683581128607503</v>
      </c>
    </row>
    <row r="34" spans="1:12" ht="15" thickTop="1" x14ac:dyDescent="0.35">
      <c r="A34" s="123"/>
      <c r="B34" s="124"/>
      <c r="C34" s="125" t="s">
        <v>91</v>
      </c>
      <c r="D34" s="126"/>
      <c r="E34" s="126"/>
      <c r="F34" s="127">
        <f>+F33/$E$33</f>
        <v>5.7147658418444186E-2</v>
      </c>
      <c r="G34" s="127">
        <f t="shared" ref="G34:I34" si="10">+G33/$E$33</f>
        <v>9.4768309164192155E-2</v>
      </c>
      <c r="H34" s="127">
        <f t="shared" ref="H34" si="11">+H33/$E$33</f>
        <v>0.10771041729421371</v>
      </c>
      <c r="I34" s="127">
        <f t="shared" si="10"/>
        <v>6.7209426409225004E-2</v>
      </c>
      <c r="J34" s="127">
        <f>+J33/E33</f>
        <v>0.32683581128607503</v>
      </c>
      <c r="K34" s="127">
        <f>+K33/E33</f>
        <v>0.67316418871392492</v>
      </c>
      <c r="L34" s="128"/>
    </row>
    <row r="35" spans="1:12" ht="27" customHeight="1" x14ac:dyDescent="0.35">
      <c r="C35" s="130"/>
      <c r="D35" s="131" t="s">
        <v>7</v>
      </c>
      <c r="E35" s="132"/>
      <c r="F35" s="132"/>
      <c r="G35" s="132"/>
      <c r="H35" s="132"/>
      <c r="I35" s="132"/>
      <c r="J35" s="134">
        <f>+J33</f>
        <v>1618866.145</v>
      </c>
      <c r="K35" s="134">
        <f>+K33</f>
        <v>3334281.8549999995</v>
      </c>
      <c r="L35" s="136"/>
    </row>
    <row r="36" spans="1:12" x14ac:dyDescent="0.35">
      <c r="C36" s="136"/>
      <c r="D36" s="161" t="s">
        <v>9</v>
      </c>
      <c r="E36" s="161"/>
      <c r="F36" s="161"/>
      <c r="G36" s="161"/>
      <c r="H36" s="161"/>
      <c r="I36" s="161"/>
      <c r="J36" s="159">
        <f>+J35/E33</f>
        <v>0.32683581128607503</v>
      </c>
      <c r="K36" s="162">
        <f>+K35/E33</f>
        <v>0.67316418871392492</v>
      </c>
      <c r="L36" s="155"/>
    </row>
    <row r="37" spans="1:12" x14ac:dyDescent="0.35">
      <c r="C37" s="143"/>
      <c r="D37" s="143"/>
      <c r="E37" s="136"/>
      <c r="F37" s="136"/>
      <c r="G37" s="136"/>
      <c r="H37" s="136"/>
      <c r="I37" s="136"/>
      <c r="J37" s="162">
        <f>(3/12)</f>
        <v>0.25</v>
      </c>
      <c r="K37" s="162">
        <f>+(9/12)</f>
        <v>0.75</v>
      </c>
    </row>
    <row r="38" spans="1:12" hidden="1" x14ac:dyDescent="0.35">
      <c r="E38" s="136"/>
      <c r="F38" s="136"/>
      <c r="G38" s="136"/>
      <c r="H38" s="136"/>
      <c r="I38" s="136"/>
      <c r="J38" s="163">
        <f>+J36-J37</f>
        <v>7.6835811286075029E-2</v>
      </c>
      <c r="K38" s="155"/>
    </row>
    <row r="39" spans="1:12" x14ac:dyDescent="0.35">
      <c r="C39" s="130"/>
      <c r="D39" s="130"/>
      <c r="E39" s="136">
        <f>+E15-E33</f>
        <v>0</v>
      </c>
      <c r="F39" s="136"/>
      <c r="G39" s="136"/>
      <c r="H39" s="136"/>
      <c r="I39" s="136"/>
      <c r="J39" s="164">
        <f>+IF(+J38&gt;0,+J38,0)</f>
        <v>7.6835811286075029E-2</v>
      </c>
      <c r="L39" s="136" t="s">
        <v>6</v>
      </c>
    </row>
    <row r="40" spans="1:12" x14ac:dyDescent="0.35">
      <c r="D40" s="149"/>
      <c r="E40" s="136"/>
      <c r="F40" s="136"/>
      <c r="G40" s="136"/>
      <c r="H40" s="136"/>
      <c r="I40" s="136"/>
      <c r="J40" s="165">
        <f>+IF(+J38&gt;0,0,-J38)</f>
        <v>0</v>
      </c>
      <c r="L40" s="136" t="s">
        <v>6</v>
      </c>
    </row>
    <row r="41" spans="1:12" x14ac:dyDescent="0.35">
      <c r="D41" s="149"/>
      <c r="J41" s="166">
        <f>+J40*E33</f>
        <v>0</v>
      </c>
    </row>
  </sheetData>
  <mergeCells count="5">
    <mergeCell ref="A16:L16"/>
    <mergeCell ref="D35:I35"/>
    <mergeCell ref="D36:I36"/>
    <mergeCell ref="C37:D37"/>
    <mergeCell ref="A1:K1"/>
  </mergeCells>
  <phoneticPr fontId="12" type="noConversion"/>
  <printOptions horizontalCentered="1"/>
  <pageMargins left="0.15748031496062992" right="0.19685039370078741" top="0.51181102362204722" bottom="0.35433070866141736" header="0.15748031496062992" footer="0.15748031496062992"/>
  <pageSetup scale="6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E5F68EDAB0D8479678556818A64B7A" ma:contentTypeVersion="0" ma:contentTypeDescription="Crear nuevo documento." ma:contentTypeScope="" ma:versionID="f4cffe001c3974c460eae36b8a84be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4C7754-A4D3-4EE4-BD0D-361BCA780CB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D114688-A13F-4147-A44C-9B7BE2FD91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A971D4-18B9-48E8-B5B4-4C1C91BEC1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DICIEMBRE 2021</vt:lpstr>
      <vt:lpstr>NOVIEMBRE 2021</vt:lpstr>
      <vt:lpstr>OCTUBRE 2021</vt:lpstr>
      <vt:lpstr>SEPTIEMBRE 2021</vt:lpstr>
      <vt:lpstr>AGOSTO 2021</vt:lpstr>
      <vt:lpstr>JULIO 2021</vt:lpstr>
      <vt:lpstr>JUNIO 2021</vt:lpstr>
      <vt:lpstr>MAYO 2021</vt:lpstr>
      <vt:lpstr>ABRIL 2021</vt:lpstr>
      <vt:lpstr>MARZO2021</vt:lpstr>
      <vt:lpstr>FEBRERO2021</vt:lpstr>
      <vt:lpstr>ENERO2021</vt:lpstr>
      <vt:lpstr>COMPARADOS</vt:lpstr>
      <vt:lpstr>graficos</vt:lpstr>
      <vt:lpstr>'ABRIL 2021'!Área_de_impresión</vt:lpstr>
      <vt:lpstr>'AGOSTO 2021'!Área_de_impresión</vt:lpstr>
      <vt:lpstr>COMPARADOS!Área_de_impresión</vt:lpstr>
      <vt:lpstr>'DICIEMBRE 2021'!Área_de_impresión</vt:lpstr>
      <vt:lpstr>ENERO2021!Área_de_impresión</vt:lpstr>
      <vt:lpstr>FEBRERO2021!Área_de_impresión</vt:lpstr>
      <vt:lpstr>'JULIO 2021'!Área_de_impresión</vt:lpstr>
      <vt:lpstr>'JUNIO 2021'!Área_de_impresión</vt:lpstr>
      <vt:lpstr>MARZO2021!Área_de_impresión</vt:lpstr>
      <vt:lpstr>'MAYO 2021'!Área_de_impresión</vt:lpstr>
      <vt:lpstr>'NOVIEMBRE 2021'!Área_de_impresión</vt:lpstr>
      <vt:lpstr>'OCTUBRE 2021'!Área_de_impresión</vt:lpstr>
      <vt:lpstr>'SEPTIEMBRE 2021'!Área_de_impresión</vt:lpstr>
    </vt:vector>
  </TitlesOfParts>
  <Company>Div. Administración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Cortés Molina</dc:creator>
  <cp:lastModifiedBy>Johana Honores</cp:lastModifiedBy>
  <cp:lastPrinted>2021-09-09T19:14:10Z</cp:lastPrinted>
  <dcterms:created xsi:type="dcterms:W3CDTF">2001-03-09T19:30:46Z</dcterms:created>
  <dcterms:modified xsi:type="dcterms:W3CDTF">2022-05-30T13:46:04Z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-2143627837</vt:i4>
  </property>
  <property fmtid="{D5CDD505-2E9C-101B-9397-08002B2CF9AE}" pid="3" name="_EmailSubject">
    <vt:lpwstr>Avance Ejecución presup programa 022.xls</vt:lpwstr>
  </property>
  <property fmtid="{D5CDD505-2E9C-101B-9397-08002B2CF9AE}" pid="4" name="_AuthorEmail">
    <vt:lpwstr>phuerta@gorecoquimbo.cl</vt:lpwstr>
  </property>
  <property fmtid="{D5CDD505-2E9C-101B-9397-08002B2CF9AE}" pid="5" name="_AuthorEmailDisplayName">
    <vt:lpwstr>Pilar Huerta</vt:lpwstr>
  </property>
  <property fmtid="{D5CDD505-2E9C-101B-9397-08002B2CF9AE}" pid="6" name="_PreviousAdHocReviewCycleID">
    <vt:i4>-538150747</vt:i4>
  </property>
  <property fmtid="{D5CDD505-2E9C-101B-9397-08002B2CF9AE}" pid="7" name="_ReviewingToolsShownOnce">
    <vt:lpwstr/>
  </property>
  <property fmtid="{D5CDD505-2E9C-101B-9397-08002B2CF9AE}" pid="8" name="ContentTypeId">
    <vt:lpwstr>0x01010076E5F68EDAB0D8479678556818A64B7A</vt:lpwstr>
  </property>
</Properties>
</file>