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"/>
    </mc:Choice>
  </mc:AlternateContent>
  <xr:revisionPtr revIDLastSave="0" documentId="13_ncr:1_{ADA689D1-FB9A-4658-B627-38019FCBDB41}" xr6:coauthVersionLast="47" xr6:coauthVersionMax="47" xr10:uidLastSave="{00000000-0000-0000-0000-000000000000}"/>
  <workbookProtection workbookAlgorithmName="SHA-512" workbookHashValue="YnRpHPsok5WhpF8Cmx3jkfeawb5T1R6UjuNswf4U7A2up+WPsAxFdoCkxh8G6WdknzAsGqPaXLjI2wzZ/LSMsg==" workbookSaltValue="StFJgmKZyxZe6DdyhRs+Kw==" workbookSpinCount="100000" lockStructure="1"/>
  <bookViews>
    <workbookView xWindow="28680" yWindow="-120" windowWidth="29040" windowHeight="15720" tabRatio="389" activeTab="2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FNDR'!$A$4:$AB$464</definedName>
    <definedName name="_xlnm._FilterDatabase" localSheetId="2" hidden="1">'FRIL 2025'!$A$2:$U$60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FNDR'!$A$1:$AH$102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5" l="1"/>
  <c r="G28" i="15"/>
  <c r="G22" i="15"/>
  <c r="G23" i="15"/>
  <c r="G21" i="15"/>
  <c r="G14" i="15"/>
  <c r="G15" i="15"/>
  <c r="G16" i="15"/>
  <c r="G17" i="15"/>
  <c r="G18" i="15"/>
  <c r="G19" i="15"/>
  <c r="G13" i="15"/>
  <c r="G12" i="15"/>
  <c r="G10" i="15"/>
  <c r="G8" i="15"/>
  <c r="G7" i="15"/>
  <c r="E104" i="15" l="1"/>
  <c r="P287" i="12"/>
  <c r="O64" i="15"/>
  <c r="P64" i="15"/>
  <c r="Q64" i="15"/>
  <c r="R64" i="15"/>
  <c r="S64" i="15"/>
  <c r="O65" i="15"/>
  <c r="P65" i="15"/>
  <c r="Q65" i="15"/>
  <c r="R65" i="15"/>
  <c r="S65" i="15"/>
  <c r="O66" i="15"/>
  <c r="P66" i="15"/>
  <c r="Q66" i="15"/>
  <c r="R66" i="15"/>
  <c r="S66" i="15"/>
  <c r="O67" i="15"/>
  <c r="P67" i="15"/>
  <c r="Q67" i="15"/>
  <c r="R67" i="15"/>
  <c r="S67" i="15"/>
  <c r="O68" i="15"/>
  <c r="P68" i="15"/>
  <c r="Q68" i="15"/>
  <c r="R68" i="15"/>
  <c r="S68" i="15"/>
  <c r="O69" i="15"/>
  <c r="P69" i="15"/>
  <c r="Q69" i="15"/>
  <c r="R69" i="15"/>
  <c r="S69" i="15"/>
  <c r="O70" i="15"/>
  <c r="P70" i="15"/>
  <c r="Q70" i="15"/>
  <c r="R70" i="15"/>
  <c r="S70" i="15"/>
  <c r="O72" i="15"/>
  <c r="P72" i="15"/>
  <c r="Q72" i="15"/>
  <c r="R72" i="15"/>
  <c r="S72" i="15"/>
  <c r="O73" i="15"/>
  <c r="P73" i="15"/>
  <c r="Q73" i="15"/>
  <c r="R73" i="15"/>
  <c r="S73" i="15"/>
  <c r="O74" i="15"/>
  <c r="P74" i="15"/>
  <c r="Q74" i="15"/>
  <c r="R74" i="15"/>
  <c r="S74" i="15"/>
  <c r="O75" i="15"/>
  <c r="P75" i="15"/>
  <c r="Q75" i="15"/>
  <c r="R75" i="15"/>
  <c r="S75" i="15"/>
  <c r="O76" i="15"/>
  <c r="P76" i="15"/>
  <c r="Q76" i="15"/>
  <c r="R76" i="15"/>
  <c r="S76" i="15"/>
  <c r="O77" i="15"/>
  <c r="P77" i="15"/>
  <c r="Q77" i="15"/>
  <c r="R77" i="15"/>
  <c r="S77" i="15"/>
  <c r="O79" i="15"/>
  <c r="P79" i="15"/>
  <c r="Q79" i="15"/>
  <c r="R79" i="15"/>
  <c r="S79" i="15"/>
  <c r="O80" i="15"/>
  <c r="P80" i="15"/>
  <c r="Q80" i="15"/>
  <c r="R80" i="15"/>
  <c r="S80" i="15"/>
  <c r="O81" i="15"/>
  <c r="P81" i="15"/>
  <c r="Q81" i="15"/>
  <c r="R81" i="15"/>
  <c r="S81" i="15"/>
  <c r="O82" i="15"/>
  <c r="P82" i="15"/>
  <c r="Q82" i="15"/>
  <c r="R82" i="15"/>
  <c r="S82" i="15"/>
  <c r="O83" i="15"/>
  <c r="P83" i="15"/>
  <c r="Q83" i="15"/>
  <c r="R83" i="15"/>
  <c r="S83" i="15"/>
  <c r="O85" i="15"/>
  <c r="P85" i="15"/>
  <c r="Q85" i="15"/>
  <c r="N85" i="15"/>
  <c r="N80" i="15"/>
  <c r="N81" i="15"/>
  <c r="N82" i="15"/>
  <c r="N83" i="15"/>
  <c r="N79" i="15"/>
  <c r="N73" i="15"/>
  <c r="N74" i="15"/>
  <c r="N75" i="15"/>
  <c r="N76" i="15"/>
  <c r="N77" i="15"/>
  <c r="N72" i="15"/>
  <c r="N65" i="15"/>
  <c r="N66" i="15"/>
  <c r="N67" i="15"/>
  <c r="N68" i="15"/>
  <c r="N69" i="15"/>
  <c r="N70" i="15"/>
  <c r="N64" i="15"/>
  <c r="U57" i="25"/>
  <c r="U58" i="25"/>
  <c r="U59" i="25"/>
  <c r="U56" i="25"/>
  <c r="U53" i="25"/>
  <c r="U54" i="25"/>
  <c r="U55" i="25"/>
  <c r="U52" i="25"/>
  <c r="O1" i="25"/>
  <c r="W334" i="12" s="1"/>
  <c r="N29" i="15" s="1"/>
  <c r="U51" i="25"/>
  <c r="L1" i="25"/>
  <c r="I5" i="15"/>
  <c r="J5" i="15"/>
  <c r="K5" i="15"/>
  <c r="L5" i="15"/>
  <c r="M5" i="15"/>
  <c r="N5" i="15"/>
  <c r="O5" i="15"/>
  <c r="P5" i="15"/>
  <c r="Q5" i="15"/>
  <c r="R5" i="15"/>
  <c r="S5" i="15"/>
  <c r="H5" i="15"/>
  <c r="O7" i="15"/>
  <c r="P7" i="15"/>
  <c r="Q7" i="15"/>
  <c r="R7" i="15"/>
  <c r="S7" i="15"/>
  <c r="O8" i="15"/>
  <c r="P8" i="15"/>
  <c r="Q8" i="15"/>
  <c r="R8" i="15"/>
  <c r="S8" i="15"/>
  <c r="O10" i="15"/>
  <c r="O9" i="15" s="1"/>
  <c r="P10" i="15"/>
  <c r="P9" i="15" s="1"/>
  <c r="Q10" i="15"/>
  <c r="Q9" i="15" s="1"/>
  <c r="R10" i="15"/>
  <c r="R9" i="15" s="1"/>
  <c r="S10" i="15"/>
  <c r="S9" i="15" s="1"/>
  <c r="O12" i="15"/>
  <c r="P12" i="15"/>
  <c r="Q12" i="15"/>
  <c r="R12" i="15"/>
  <c r="S12" i="15"/>
  <c r="O13" i="15"/>
  <c r="P13" i="15"/>
  <c r="Q13" i="15"/>
  <c r="R13" i="15"/>
  <c r="S13" i="15"/>
  <c r="O14" i="15"/>
  <c r="P14" i="15"/>
  <c r="Q14" i="15"/>
  <c r="R14" i="15"/>
  <c r="S14" i="15"/>
  <c r="O15" i="15"/>
  <c r="P15" i="15"/>
  <c r="Q15" i="15"/>
  <c r="R15" i="15"/>
  <c r="S15" i="15"/>
  <c r="O16" i="15"/>
  <c r="P16" i="15"/>
  <c r="Q16" i="15"/>
  <c r="R16" i="15"/>
  <c r="S16" i="15"/>
  <c r="O17" i="15"/>
  <c r="P17" i="15"/>
  <c r="Q17" i="15"/>
  <c r="R17" i="15"/>
  <c r="S17" i="15"/>
  <c r="O18" i="15"/>
  <c r="P18" i="15"/>
  <c r="Q18" i="15"/>
  <c r="R18" i="15"/>
  <c r="S18" i="15"/>
  <c r="O19" i="15"/>
  <c r="P19" i="15"/>
  <c r="Q19" i="15"/>
  <c r="R19" i="15"/>
  <c r="S19" i="15"/>
  <c r="O21" i="15"/>
  <c r="P21" i="15"/>
  <c r="Q21" i="15"/>
  <c r="R21" i="15"/>
  <c r="S21" i="15"/>
  <c r="O22" i="15"/>
  <c r="P22" i="15"/>
  <c r="Q22" i="15"/>
  <c r="R22" i="15"/>
  <c r="S22" i="15"/>
  <c r="O23" i="15"/>
  <c r="P23" i="15"/>
  <c r="Q23" i="15"/>
  <c r="R23" i="15"/>
  <c r="S23" i="15"/>
  <c r="O24" i="15"/>
  <c r="P24" i="15"/>
  <c r="Q24" i="15"/>
  <c r="R24" i="15"/>
  <c r="S24" i="15"/>
  <c r="O28" i="15"/>
  <c r="P28" i="15"/>
  <c r="Q28" i="15"/>
  <c r="R28" i="15"/>
  <c r="S28" i="15"/>
  <c r="O29" i="15"/>
  <c r="P29" i="15"/>
  <c r="Q29" i="15"/>
  <c r="R29" i="15"/>
  <c r="S29" i="15"/>
  <c r="O31" i="15"/>
  <c r="O30" i="15" s="1"/>
  <c r="P31" i="15"/>
  <c r="P30" i="15" s="1"/>
  <c r="Q31" i="15"/>
  <c r="Q30" i="15" s="1"/>
  <c r="R31" i="15"/>
  <c r="R30" i="15" s="1"/>
  <c r="S31" i="15"/>
  <c r="S30" i="15" s="1"/>
  <c r="N28" i="15"/>
  <c r="N31" i="15"/>
  <c r="N30" i="15" s="1"/>
  <c r="N23" i="15"/>
  <c r="N22" i="15"/>
  <c r="N21" i="15"/>
  <c r="N13" i="15"/>
  <c r="N14" i="15"/>
  <c r="N15" i="15"/>
  <c r="N16" i="15"/>
  <c r="N17" i="15"/>
  <c r="N18" i="15"/>
  <c r="N19" i="15"/>
  <c r="N12" i="15"/>
  <c r="N10" i="15"/>
  <c r="N9" i="15" s="1"/>
  <c r="N8" i="15"/>
  <c r="N7" i="15"/>
  <c r="P463" i="12"/>
  <c r="P464" i="12"/>
  <c r="P462" i="12"/>
  <c r="P461" i="12"/>
  <c r="P460" i="12"/>
  <c r="P459" i="12"/>
  <c r="P16" i="12"/>
  <c r="P25" i="12"/>
  <c r="P26" i="12"/>
  <c r="N24" i="15"/>
  <c r="M31" i="15"/>
  <c r="M28" i="15"/>
  <c r="M23" i="15"/>
  <c r="M22" i="15"/>
  <c r="M21" i="15"/>
  <c r="M19" i="15"/>
  <c r="M13" i="15"/>
  <c r="M14" i="15"/>
  <c r="M15" i="15"/>
  <c r="M16" i="15"/>
  <c r="M17" i="15"/>
  <c r="M18" i="15"/>
  <c r="M12" i="15"/>
  <c r="M10" i="15"/>
  <c r="M8" i="15"/>
  <c r="M7" i="15"/>
  <c r="R71" i="15" l="1"/>
  <c r="P71" i="15"/>
  <c r="P78" i="15"/>
  <c r="Q71" i="15"/>
  <c r="S71" i="15"/>
  <c r="Q78" i="15"/>
  <c r="O78" i="15"/>
  <c r="S78" i="15"/>
  <c r="R78" i="15"/>
  <c r="O71" i="15"/>
  <c r="O6" i="15"/>
  <c r="P6" i="15"/>
  <c r="Q6" i="15"/>
  <c r="R20" i="15"/>
  <c r="S6" i="15"/>
  <c r="Q20" i="15"/>
  <c r="R27" i="15"/>
  <c r="R11" i="15"/>
  <c r="S27" i="15"/>
  <c r="S11" i="15"/>
  <c r="Q27" i="15"/>
  <c r="Q11" i="15"/>
  <c r="P27" i="15"/>
  <c r="P11" i="15"/>
  <c r="O27" i="15"/>
  <c r="O11" i="15"/>
  <c r="R6" i="15"/>
  <c r="P20" i="15"/>
  <c r="O20" i="15"/>
  <c r="S20" i="15"/>
  <c r="N27" i="15"/>
  <c r="N11" i="15"/>
  <c r="N6" i="15"/>
  <c r="N20" i="15"/>
  <c r="N33" i="15" l="1"/>
  <c r="N34" i="15"/>
  <c r="M80" i="15" l="1"/>
  <c r="M81" i="15"/>
  <c r="M82" i="15"/>
  <c r="M83" i="15"/>
  <c r="M79" i="15"/>
  <c r="M73" i="15"/>
  <c r="M74" i="15"/>
  <c r="M75" i="15"/>
  <c r="M76" i="15"/>
  <c r="M77" i="15"/>
  <c r="M72" i="15"/>
  <c r="M65" i="15"/>
  <c r="M66" i="15"/>
  <c r="M67" i="15"/>
  <c r="M68" i="15"/>
  <c r="M69" i="15"/>
  <c r="M70" i="15"/>
  <c r="M64" i="15"/>
  <c r="N3" i="12" l="1"/>
  <c r="P364" i="12"/>
  <c r="P362" i="12"/>
  <c r="P360" i="12"/>
  <c r="P358" i="12"/>
  <c r="P357" i="12"/>
  <c r="P356" i="12"/>
  <c r="P355" i="12"/>
  <c r="P354" i="12"/>
  <c r="P353" i="12"/>
  <c r="P352" i="12"/>
  <c r="P351" i="12"/>
  <c r="T37" i="15" l="1"/>
  <c r="M85" i="15"/>
  <c r="F10" i="15"/>
  <c r="F9" i="15" s="1"/>
  <c r="F22" i="15"/>
  <c r="F14" i="15"/>
  <c r="O64" i="25" l="1"/>
  <c r="P64" i="25"/>
  <c r="Q64" i="25"/>
  <c r="R64" i="25"/>
  <c r="S64" i="25"/>
  <c r="T64" i="25"/>
  <c r="O65" i="25"/>
  <c r="P65" i="25"/>
  <c r="Q65" i="25"/>
  <c r="R65" i="25"/>
  <c r="S65" i="25"/>
  <c r="T65" i="25"/>
  <c r="O66" i="25"/>
  <c r="P66" i="25"/>
  <c r="Q66" i="25"/>
  <c r="R66" i="25"/>
  <c r="S66" i="25"/>
  <c r="T66" i="25"/>
  <c r="O67" i="25"/>
  <c r="P67" i="25"/>
  <c r="Q67" i="25"/>
  <c r="R67" i="25"/>
  <c r="S67" i="25"/>
  <c r="T67" i="25"/>
  <c r="O68" i="25"/>
  <c r="P68" i="25"/>
  <c r="Q68" i="25"/>
  <c r="R68" i="25"/>
  <c r="S68" i="25"/>
  <c r="T68" i="25"/>
  <c r="O69" i="25"/>
  <c r="P69" i="25"/>
  <c r="Q69" i="25"/>
  <c r="R69" i="25"/>
  <c r="S69" i="25"/>
  <c r="T69" i="25"/>
  <c r="O71" i="25"/>
  <c r="P71" i="25"/>
  <c r="Q71" i="25"/>
  <c r="R71" i="25"/>
  <c r="S71" i="25"/>
  <c r="T71" i="25"/>
  <c r="O72" i="25"/>
  <c r="P72" i="25"/>
  <c r="Q72" i="25"/>
  <c r="R72" i="25"/>
  <c r="S72" i="25"/>
  <c r="T72" i="25"/>
  <c r="O73" i="25"/>
  <c r="P73" i="25"/>
  <c r="Q73" i="25"/>
  <c r="R73" i="25"/>
  <c r="S73" i="25"/>
  <c r="T73" i="25"/>
  <c r="O74" i="25"/>
  <c r="P74" i="25"/>
  <c r="Q74" i="25"/>
  <c r="R74" i="25"/>
  <c r="S74" i="25"/>
  <c r="T74" i="25"/>
  <c r="O75" i="25"/>
  <c r="P75" i="25"/>
  <c r="Q75" i="25"/>
  <c r="R75" i="25"/>
  <c r="S75" i="25"/>
  <c r="T75" i="25"/>
  <c r="O77" i="25"/>
  <c r="P77" i="25"/>
  <c r="Q77" i="25"/>
  <c r="R77" i="25"/>
  <c r="S77" i="25"/>
  <c r="T77" i="25"/>
  <c r="O78" i="25"/>
  <c r="P78" i="25"/>
  <c r="Q78" i="25"/>
  <c r="R78" i="25"/>
  <c r="S78" i="25"/>
  <c r="T78" i="25"/>
  <c r="O79" i="25"/>
  <c r="P79" i="25"/>
  <c r="Q79" i="25"/>
  <c r="R79" i="25"/>
  <c r="S79" i="25"/>
  <c r="T79" i="25"/>
  <c r="O80" i="25"/>
  <c r="P80" i="25"/>
  <c r="Q80" i="25"/>
  <c r="R80" i="25"/>
  <c r="S80" i="25"/>
  <c r="T80" i="25"/>
  <c r="J77" i="25"/>
  <c r="K77" i="25"/>
  <c r="L77" i="25"/>
  <c r="M77" i="25"/>
  <c r="N77" i="25"/>
  <c r="J78" i="25"/>
  <c r="K78" i="25"/>
  <c r="L78" i="25"/>
  <c r="M78" i="25"/>
  <c r="N78" i="25"/>
  <c r="J79" i="25"/>
  <c r="K79" i="25"/>
  <c r="L79" i="25"/>
  <c r="M79" i="25"/>
  <c r="N79" i="25"/>
  <c r="J80" i="25"/>
  <c r="K80" i="25"/>
  <c r="L80" i="25"/>
  <c r="M80" i="25"/>
  <c r="N80" i="25"/>
  <c r="I78" i="25"/>
  <c r="I79" i="25"/>
  <c r="I80" i="25"/>
  <c r="I77" i="25"/>
  <c r="I72" i="25"/>
  <c r="J72" i="25"/>
  <c r="K72" i="25"/>
  <c r="L72" i="25"/>
  <c r="M72" i="25"/>
  <c r="N72" i="25"/>
  <c r="I73" i="25"/>
  <c r="J73" i="25"/>
  <c r="K73" i="25"/>
  <c r="L73" i="25"/>
  <c r="M73" i="25"/>
  <c r="N73" i="25"/>
  <c r="I74" i="25"/>
  <c r="J74" i="25"/>
  <c r="K74" i="25"/>
  <c r="L74" i="25"/>
  <c r="M74" i="25"/>
  <c r="N74" i="25"/>
  <c r="I75" i="25"/>
  <c r="J75" i="25"/>
  <c r="K75" i="25"/>
  <c r="L75" i="25"/>
  <c r="M75" i="25"/>
  <c r="N75" i="25"/>
  <c r="J71" i="25"/>
  <c r="K71" i="25"/>
  <c r="L71" i="25"/>
  <c r="M71" i="25"/>
  <c r="N71" i="25"/>
  <c r="I71" i="25"/>
  <c r="I66" i="25"/>
  <c r="J66" i="25"/>
  <c r="K66" i="25"/>
  <c r="L66" i="25"/>
  <c r="M66" i="25"/>
  <c r="N66" i="25"/>
  <c r="I67" i="25"/>
  <c r="J67" i="25"/>
  <c r="K67" i="25"/>
  <c r="L67" i="25"/>
  <c r="M67" i="25"/>
  <c r="N67" i="25"/>
  <c r="I68" i="25"/>
  <c r="J68" i="25"/>
  <c r="K68" i="25"/>
  <c r="L68" i="25"/>
  <c r="M68" i="25"/>
  <c r="N68" i="25"/>
  <c r="I69" i="25"/>
  <c r="J69" i="25"/>
  <c r="K69" i="25"/>
  <c r="L69" i="25"/>
  <c r="M69" i="25"/>
  <c r="N69" i="25"/>
  <c r="J65" i="25"/>
  <c r="K65" i="25"/>
  <c r="L65" i="25"/>
  <c r="M65" i="25"/>
  <c r="N65" i="25"/>
  <c r="I65" i="25"/>
  <c r="N64" i="25"/>
  <c r="J64" i="25"/>
  <c r="K64" i="25"/>
  <c r="L64" i="25"/>
  <c r="M64" i="25"/>
  <c r="I64" i="25"/>
  <c r="J1" i="25"/>
  <c r="K1" i="25"/>
  <c r="M1" i="25"/>
  <c r="N1" i="25"/>
  <c r="V334" i="12" s="1"/>
  <c r="M29" i="15" s="1"/>
  <c r="M27" i="15" s="1"/>
  <c r="P1" i="25"/>
  <c r="Q1" i="25"/>
  <c r="R1" i="25"/>
  <c r="S1" i="25"/>
  <c r="T1" i="25"/>
  <c r="I1" i="25"/>
  <c r="U49" i="25"/>
  <c r="U50" i="25"/>
  <c r="U60" i="25"/>
  <c r="R70" i="25" l="1"/>
  <c r="S70" i="25"/>
  <c r="O70" i="25"/>
  <c r="J70" i="25"/>
  <c r="S81" i="25"/>
  <c r="S76" i="25"/>
  <c r="Q70" i="25"/>
  <c r="P81" i="25"/>
  <c r="R76" i="25"/>
  <c r="Q81" i="25"/>
  <c r="Q76" i="25"/>
  <c r="P70" i="25"/>
  <c r="T70" i="25"/>
  <c r="O81" i="25"/>
  <c r="T76" i="25"/>
  <c r="P76" i="25"/>
  <c r="O76" i="25"/>
  <c r="T81" i="25"/>
  <c r="R81" i="25"/>
  <c r="U48" i="25"/>
  <c r="O3" i="12" l="1"/>
  <c r="L85" i="15"/>
  <c r="L83" i="15"/>
  <c r="L82" i="15"/>
  <c r="L81" i="15"/>
  <c r="L80" i="15"/>
  <c r="L79" i="15"/>
  <c r="L77" i="15"/>
  <c r="L76" i="15"/>
  <c r="L75" i="15"/>
  <c r="L74" i="15"/>
  <c r="L73" i="15"/>
  <c r="L72" i="15"/>
  <c r="L70" i="15"/>
  <c r="L69" i="15"/>
  <c r="L68" i="15"/>
  <c r="L67" i="15"/>
  <c r="L66" i="15"/>
  <c r="L65" i="15"/>
  <c r="L64" i="15"/>
  <c r="L7" i="15"/>
  <c r="L8" i="15"/>
  <c r="L10" i="15"/>
  <c r="L12" i="15"/>
  <c r="L13" i="15"/>
  <c r="L15" i="15"/>
  <c r="L16" i="15"/>
  <c r="L17" i="15"/>
  <c r="L18" i="15"/>
  <c r="L19" i="15"/>
  <c r="L14" i="15"/>
  <c r="K14" i="15"/>
  <c r="L23" i="15"/>
  <c r="K23" i="15"/>
  <c r="L21" i="15"/>
  <c r="K21" i="15"/>
  <c r="L22" i="15"/>
  <c r="U334" i="12"/>
  <c r="L29" i="15" s="1"/>
  <c r="U47" i="25"/>
  <c r="U45" i="25"/>
  <c r="U46" i="25"/>
  <c r="L6" i="15" l="1"/>
  <c r="G5" i="15" l="1"/>
  <c r="F30" i="15"/>
  <c r="K7" i="15"/>
  <c r="K8" i="15"/>
  <c r="K28" i="15"/>
  <c r="J28" i="15"/>
  <c r="K22" i="15"/>
  <c r="P343" i="12"/>
  <c r="U38" i="25"/>
  <c r="U39" i="25"/>
  <c r="U40" i="25"/>
  <c r="U41" i="25"/>
  <c r="U42" i="25"/>
  <c r="U43" i="25"/>
  <c r="Q3" i="12"/>
  <c r="U23" i="25"/>
  <c r="G27" i="15"/>
  <c r="G31" i="15"/>
  <c r="G30" i="15" s="1"/>
  <c r="G24" i="15"/>
  <c r="G9" i="15"/>
  <c r="K70" i="25" l="1"/>
  <c r="G20" i="15"/>
  <c r="G11" i="15"/>
  <c r="G6" i="15"/>
  <c r="G34" i="15" l="1"/>
  <c r="G33" i="15"/>
  <c r="J8" i="15"/>
  <c r="J7" i="15"/>
  <c r="T334" i="12"/>
  <c r="K29" i="15" s="1"/>
  <c r="S334" i="12"/>
  <c r="U44" i="25"/>
  <c r="U34" i="25"/>
  <c r="J65" i="15"/>
  <c r="J66" i="15"/>
  <c r="J67" i="15"/>
  <c r="J68" i="15"/>
  <c r="J69" i="15"/>
  <c r="J70" i="15"/>
  <c r="J64" i="15"/>
  <c r="I80" i="15"/>
  <c r="I81" i="15"/>
  <c r="I82" i="15"/>
  <c r="I83" i="15"/>
  <c r="I79" i="15"/>
  <c r="I73" i="15"/>
  <c r="I74" i="15"/>
  <c r="I75" i="15"/>
  <c r="I76" i="15"/>
  <c r="I77" i="15"/>
  <c r="I72" i="15"/>
  <c r="I65" i="15"/>
  <c r="I66" i="15"/>
  <c r="I67" i="15"/>
  <c r="I68" i="15"/>
  <c r="I69" i="15"/>
  <c r="I70" i="15"/>
  <c r="I64" i="15"/>
  <c r="I85" i="15"/>
  <c r="S85" i="15" s="1"/>
  <c r="H31" i="15" l="1"/>
  <c r="I7" i="15"/>
  <c r="I31" i="15"/>
  <c r="F32" i="15"/>
  <c r="F28" i="15"/>
  <c r="F21" i="15"/>
  <c r="F7" i="15"/>
  <c r="J29" i="15"/>
  <c r="J22" i="15"/>
  <c r="J23" i="15"/>
  <c r="J21" i="15"/>
  <c r="J13" i="15"/>
  <c r="J14" i="15"/>
  <c r="J15" i="15"/>
  <c r="J16" i="15"/>
  <c r="J17" i="15"/>
  <c r="J18" i="15"/>
  <c r="J19" i="15"/>
  <c r="J12" i="15"/>
  <c r="J10" i="15"/>
  <c r="I12" i="15"/>
  <c r="I28" i="15"/>
  <c r="I22" i="15"/>
  <c r="I23" i="15"/>
  <c r="I21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4" i="25"/>
  <c r="U25" i="25"/>
  <c r="U26" i="25"/>
  <c r="U28" i="25"/>
  <c r="U29" i="25"/>
  <c r="U30" i="25"/>
  <c r="U31" i="25"/>
  <c r="U32" i="25"/>
  <c r="U33" i="25"/>
  <c r="P170" i="12"/>
  <c r="P171" i="12"/>
  <c r="J11" i="15" l="1"/>
  <c r="P455" i="12"/>
  <c r="P456" i="12"/>
  <c r="P457" i="12"/>
  <c r="P458" i="12"/>
  <c r="P449" i="12"/>
  <c r="P450" i="12"/>
  <c r="P451" i="12"/>
  <c r="P452" i="12"/>
  <c r="P453" i="12"/>
  <c r="P454" i="12"/>
  <c r="P448" i="12"/>
  <c r="S3" i="12"/>
  <c r="T3" i="12"/>
  <c r="U3" i="12"/>
  <c r="V3" i="12"/>
  <c r="W3" i="12"/>
  <c r="X3" i="12"/>
  <c r="Y3" i="12"/>
  <c r="Z3" i="12"/>
  <c r="AA3" i="12"/>
  <c r="AB3" i="12"/>
  <c r="H78" i="25" l="1"/>
  <c r="H79" i="25"/>
  <c r="H80" i="25"/>
  <c r="H77" i="25"/>
  <c r="H72" i="25"/>
  <c r="H73" i="25"/>
  <c r="H74" i="25"/>
  <c r="H75" i="25"/>
  <c r="H71" i="25"/>
  <c r="H69" i="25"/>
  <c r="H68" i="25"/>
  <c r="H67" i="25"/>
  <c r="H65" i="25"/>
  <c r="H66" i="25"/>
  <c r="H64" i="25"/>
  <c r="P446" i="12"/>
  <c r="P447" i="12"/>
  <c r="P445" i="12"/>
  <c r="P444" i="12"/>
  <c r="P443" i="12"/>
  <c r="P442" i="12"/>
  <c r="P441" i="12"/>
  <c r="P440" i="12"/>
  <c r="P439" i="12"/>
  <c r="P438" i="12"/>
  <c r="P436" i="12"/>
  <c r="P437" i="12"/>
  <c r="P5" i="12"/>
  <c r="P6" i="12"/>
  <c r="P7" i="12"/>
  <c r="P8" i="12"/>
  <c r="E105" i="15" s="1"/>
  <c r="P9" i="12"/>
  <c r="P10" i="12"/>
  <c r="P11" i="12"/>
  <c r="P12" i="12"/>
  <c r="P13" i="12"/>
  <c r="P14" i="12"/>
  <c r="P15" i="12"/>
  <c r="P17" i="12"/>
  <c r="P18" i="12"/>
  <c r="P19" i="12"/>
  <c r="P20" i="12"/>
  <c r="P21" i="12"/>
  <c r="P22" i="12"/>
  <c r="P23" i="12"/>
  <c r="P24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E101" i="15" s="1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5" i="12"/>
  <c r="P336" i="12"/>
  <c r="P337" i="12"/>
  <c r="P338" i="12"/>
  <c r="P339" i="12"/>
  <c r="P340" i="12"/>
  <c r="P341" i="12"/>
  <c r="P342" i="12"/>
  <c r="P344" i="12"/>
  <c r="P345" i="12"/>
  <c r="P346" i="12"/>
  <c r="P347" i="12"/>
  <c r="P349" i="12"/>
  <c r="P350" i="12"/>
  <c r="P359" i="12"/>
  <c r="P361" i="12"/>
  <c r="P363" i="12"/>
  <c r="P365" i="12"/>
  <c r="P366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E114" i="15" s="1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391" i="12"/>
  <c r="U37" i="25"/>
  <c r="E102" i="15" l="1"/>
  <c r="E106" i="15"/>
  <c r="E112" i="15"/>
  <c r="E109" i="15"/>
  <c r="E108" i="15"/>
  <c r="E110" i="15"/>
  <c r="E111" i="15"/>
  <c r="E103" i="15"/>
  <c r="P68" i="12"/>
  <c r="E107" i="15" s="1"/>
  <c r="K302" i="12"/>
  <c r="K301" i="12"/>
  <c r="K300" i="12"/>
  <c r="K299" i="12"/>
  <c r="K298" i="12"/>
  <c r="K297" i="12"/>
  <c r="K296" i="12"/>
  <c r="K295" i="12"/>
  <c r="K294" i="12"/>
  <c r="K293" i="12"/>
  <c r="K292" i="12"/>
  <c r="K291" i="12"/>
  <c r="K290" i="12"/>
  <c r="K289" i="12"/>
  <c r="K288" i="12"/>
  <c r="U36" i="25"/>
  <c r="U35" i="25"/>
  <c r="H70" i="25" l="1"/>
  <c r="L28" i="15" l="1"/>
  <c r="K85" i="15" l="1"/>
  <c r="U27" i="25"/>
  <c r="K80" i="15"/>
  <c r="K81" i="15"/>
  <c r="K82" i="15"/>
  <c r="K83" i="15"/>
  <c r="K79" i="15"/>
  <c r="K73" i="15"/>
  <c r="K74" i="15"/>
  <c r="K75" i="15"/>
  <c r="K76" i="15"/>
  <c r="K77" i="15"/>
  <c r="K72" i="15"/>
  <c r="K66" i="15"/>
  <c r="K65" i="15"/>
  <c r="K64" i="15"/>
  <c r="K67" i="15"/>
  <c r="K68" i="15"/>
  <c r="K69" i="15"/>
  <c r="K70" i="15"/>
  <c r="K76" i="25" l="1"/>
  <c r="K81" i="25"/>
  <c r="L70" i="25"/>
  <c r="J85" i="15"/>
  <c r="J80" i="15"/>
  <c r="J81" i="15"/>
  <c r="J82" i="15"/>
  <c r="J83" i="15"/>
  <c r="J79" i="15"/>
  <c r="J73" i="15"/>
  <c r="J74" i="15"/>
  <c r="J75" i="15"/>
  <c r="J76" i="15"/>
  <c r="J77" i="15"/>
  <c r="J72" i="15"/>
  <c r="E6" i="15" l="1"/>
  <c r="R334" i="12" l="1"/>
  <c r="H29" i="15"/>
  <c r="H28" i="15"/>
  <c r="R3" i="12" l="1"/>
  <c r="I29" i="15"/>
  <c r="T29" i="15" s="1"/>
  <c r="T28" i="15"/>
  <c r="P334" i="12"/>
  <c r="E113" i="15" s="1"/>
  <c r="E115" i="15" s="1"/>
  <c r="T27" i="15" l="1"/>
  <c r="P3" i="12"/>
  <c r="O2" i="12"/>
  <c r="U8" i="25" l="1"/>
  <c r="U1" i="25" s="1"/>
  <c r="L31" i="15" l="1"/>
  <c r="L30" i="15" s="1"/>
  <c r="K31" i="15"/>
  <c r="K30" i="15" s="1"/>
  <c r="M30" i="15"/>
  <c r="J31" i="15"/>
  <c r="J30" i="15" s="1"/>
  <c r="I30" i="15"/>
  <c r="T31" i="15" l="1"/>
  <c r="H23" i="15" l="1"/>
  <c r="H22" i="15"/>
  <c r="H21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H10" i="15"/>
  <c r="H7" i="15"/>
  <c r="H8" i="15"/>
  <c r="T10" i="15" l="1"/>
  <c r="T9" i="15" s="1"/>
  <c r="U9" i="15" s="1"/>
  <c r="T14" i="15"/>
  <c r="T19" i="15"/>
  <c r="T5" i="15"/>
  <c r="T12" i="15"/>
  <c r="U5" i="15" l="1"/>
  <c r="I6" i="15"/>
  <c r="M57" i="15" l="1"/>
  <c r="N57" i="15"/>
  <c r="O57" i="15"/>
  <c r="P57" i="15"/>
  <c r="Q57" i="15"/>
  <c r="R57" i="15"/>
  <c r="S57" i="15"/>
  <c r="M54" i="15"/>
  <c r="N54" i="15"/>
  <c r="O54" i="15"/>
  <c r="P54" i="15"/>
  <c r="Q54" i="15"/>
  <c r="R54" i="15"/>
  <c r="J57" i="15"/>
  <c r="K57" i="15"/>
  <c r="L57" i="15"/>
  <c r="I57" i="15"/>
  <c r="I9" i="15"/>
  <c r="I54" i="15" s="1"/>
  <c r="J9" i="15"/>
  <c r="J54" i="15" s="1"/>
  <c r="K9" i="15"/>
  <c r="K54" i="15" s="1"/>
  <c r="L9" i="15"/>
  <c r="L54" i="15" s="1"/>
  <c r="H9" i="15"/>
  <c r="H54" i="15" s="1"/>
  <c r="U63" i="25" l="1"/>
  <c r="J63" i="25"/>
  <c r="K63" i="25"/>
  <c r="L63" i="25"/>
  <c r="M63" i="25"/>
  <c r="N63" i="25"/>
  <c r="O63" i="25"/>
  <c r="P63" i="25"/>
  <c r="Q63" i="25"/>
  <c r="R63" i="25"/>
  <c r="S63" i="25"/>
  <c r="T63" i="25"/>
  <c r="I63" i="25"/>
  <c r="U64" i="25"/>
  <c r="U77" i="25" l="1"/>
  <c r="U72" i="25"/>
  <c r="U67" i="25"/>
  <c r="U75" i="25"/>
  <c r="U66" i="25"/>
  <c r="U65" i="25"/>
  <c r="U80" i="25"/>
  <c r="U71" i="25"/>
  <c r="U79" i="25"/>
  <c r="U69" i="25"/>
  <c r="U78" i="25"/>
  <c r="U73" i="25"/>
  <c r="U68" i="25"/>
  <c r="I76" i="25"/>
  <c r="N70" i="25"/>
  <c r="L81" i="25"/>
  <c r="I81" i="25"/>
  <c r="J81" i="25"/>
  <c r="J76" i="25"/>
  <c r="N81" i="25"/>
  <c r="L76" i="25"/>
  <c r="U74" i="25"/>
  <c r="M81" i="25"/>
  <c r="M70" i="25"/>
  <c r="I70" i="25"/>
  <c r="M76" i="25"/>
  <c r="N76" i="25"/>
  <c r="U70" i="25" l="1"/>
  <c r="J83" i="25"/>
  <c r="M83" i="25"/>
  <c r="L83" i="25"/>
  <c r="U76" i="25"/>
  <c r="U81" i="25"/>
  <c r="O83" i="25"/>
  <c r="P83" i="25"/>
  <c r="K83" i="25"/>
  <c r="S83" i="25"/>
  <c r="I83" i="25"/>
  <c r="N83" i="25"/>
  <c r="T83" i="25"/>
  <c r="R83" i="25"/>
  <c r="Q83" i="25"/>
  <c r="U83" i="25" l="1"/>
  <c r="H81" i="25" l="1"/>
  <c r="H91" i="15"/>
  <c r="U37" i="15" l="1"/>
  <c r="F6" i="15" l="1"/>
  <c r="C2" i="26"/>
  <c r="H30" i="15"/>
  <c r="H57" i="15" s="1"/>
  <c r="T57" i="15" s="1"/>
  <c r="E30" i="15"/>
  <c r="F17" i="15"/>
  <c r="F18" i="15"/>
  <c r="F11" i="15" s="1"/>
  <c r="F19" i="15"/>
  <c r="S54" i="15"/>
  <c r="T54" i="15" s="1"/>
  <c r="F27" i="15"/>
  <c r="I24" i="15"/>
  <c r="F13" i="15"/>
  <c r="F12" i="15"/>
  <c r="M95" i="15"/>
  <c r="L95" i="15"/>
  <c r="P56" i="15"/>
  <c r="O56" i="15"/>
  <c r="R56" i="15"/>
  <c r="Q56" i="15"/>
  <c r="N56" i="15"/>
  <c r="M56" i="15"/>
  <c r="T26" i="15"/>
  <c r="P95" i="15"/>
  <c r="O95" i="15"/>
  <c r="N95" i="15"/>
  <c r="K95" i="15"/>
  <c r="K24" i="15"/>
  <c r="S95" i="15"/>
  <c r="K62" i="15"/>
  <c r="K90" i="15" s="1"/>
  <c r="L62" i="15"/>
  <c r="L90" i="15" s="1"/>
  <c r="M62" i="15"/>
  <c r="M90" i="15" s="1"/>
  <c r="N62" i="15"/>
  <c r="N90" i="15" s="1"/>
  <c r="O62" i="15"/>
  <c r="O90" i="15" s="1"/>
  <c r="P62" i="15"/>
  <c r="P90" i="15" s="1"/>
  <c r="Q62" i="15"/>
  <c r="Q90" i="15" s="1"/>
  <c r="R62" i="15"/>
  <c r="R90" i="15" s="1"/>
  <c r="S62" i="15"/>
  <c r="S90" i="15" s="1"/>
  <c r="K49" i="15"/>
  <c r="L49" i="15"/>
  <c r="M49" i="15"/>
  <c r="N49" i="15"/>
  <c r="O49" i="15"/>
  <c r="P49" i="15"/>
  <c r="Q49" i="15"/>
  <c r="R49" i="15"/>
  <c r="S49" i="15"/>
  <c r="K44" i="15"/>
  <c r="L44" i="15"/>
  <c r="M44" i="15"/>
  <c r="N44" i="15"/>
  <c r="O44" i="15"/>
  <c r="P44" i="15"/>
  <c r="Q44" i="15"/>
  <c r="R44" i="15"/>
  <c r="S44" i="15"/>
  <c r="J49" i="15"/>
  <c r="I62" i="15"/>
  <c r="I90" i="15" s="1"/>
  <c r="J62" i="15"/>
  <c r="J90" i="15" s="1"/>
  <c r="J95" i="15"/>
  <c r="I91" i="15"/>
  <c r="J91" i="15"/>
  <c r="K91" i="15"/>
  <c r="L91" i="15"/>
  <c r="M91" i="15"/>
  <c r="N91" i="15"/>
  <c r="O91" i="15"/>
  <c r="P91" i="15"/>
  <c r="Q91" i="15"/>
  <c r="R91" i="15"/>
  <c r="S91" i="15"/>
  <c r="T91" i="15"/>
  <c r="T90" i="15"/>
  <c r="H62" i="15"/>
  <c r="H90" i="15" s="1"/>
  <c r="I49" i="15"/>
  <c r="H49" i="15"/>
  <c r="I44" i="15"/>
  <c r="J44" i="15"/>
  <c r="H44" i="15"/>
  <c r="H85" i="15"/>
  <c r="R85" i="15" s="1"/>
  <c r="R95" i="15" s="1"/>
  <c r="I95" i="15"/>
  <c r="H80" i="15"/>
  <c r="H81" i="15"/>
  <c r="H82" i="15"/>
  <c r="H83" i="15"/>
  <c r="H79" i="15"/>
  <c r="H73" i="15"/>
  <c r="H74" i="15"/>
  <c r="H75" i="15"/>
  <c r="H76" i="15"/>
  <c r="H77" i="15"/>
  <c r="H72" i="15"/>
  <c r="H65" i="15"/>
  <c r="H66" i="15"/>
  <c r="H67" i="15"/>
  <c r="H68" i="15"/>
  <c r="H69" i="15"/>
  <c r="H70" i="15"/>
  <c r="H64" i="15"/>
  <c r="J24" i="15"/>
  <c r="L24" i="15"/>
  <c r="M24" i="15"/>
  <c r="T32" i="15"/>
  <c r="U32" i="15" s="1"/>
  <c r="T25" i="15"/>
  <c r="H24" i="15"/>
  <c r="E27" i="15"/>
  <c r="F26" i="15"/>
  <c r="F24" i="15" s="1"/>
  <c r="E24" i="15"/>
  <c r="F20" i="15"/>
  <c r="E20" i="15"/>
  <c r="E11" i="15"/>
  <c r="E33" i="15" l="1"/>
  <c r="F34" i="15"/>
  <c r="N36" i="15" s="1"/>
  <c r="F33" i="15"/>
  <c r="N35" i="15" s="1"/>
  <c r="T64" i="15"/>
  <c r="W64" i="15" s="1"/>
  <c r="E34" i="15"/>
  <c r="E45" i="15" s="1"/>
  <c r="T65" i="15"/>
  <c r="W65" i="15" s="1"/>
  <c r="T24" i="15"/>
  <c r="U26" i="15"/>
  <c r="U25" i="15"/>
  <c r="T30" i="15"/>
  <c r="U30" i="15" s="1"/>
  <c r="H95" i="15"/>
  <c r="K56" i="15"/>
  <c r="L56" i="15"/>
  <c r="J56" i="15"/>
  <c r="H56" i="15"/>
  <c r="I56" i="15"/>
  <c r="R92" i="15"/>
  <c r="S56" i="15"/>
  <c r="S53" i="15"/>
  <c r="T16" i="15"/>
  <c r="U16" i="15" s="1"/>
  <c r="T8" i="15"/>
  <c r="U8" i="15" s="1"/>
  <c r="T21" i="15"/>
  <c r="U28" i="15"/>
  <c r="U14" i="15"/>
  <c r="T7" i="15"/>
  <c r="T22" i="15"/>
  <c r="U22" i="15" s="1"/>
  <c r="I20" i="15"/>
  <c r="L55" i="15"/>
  <c r="M6" i="15"/>
  <c r="H20" i="15"/>
  <c r="J27" i="15"/>
  <c r="J53" i="15" s="1"/>
  <c r="J6" i="15"/>
  <c r="J55" i="15" s="1"/>
  <c r="K6" i="15"/>
  <c r="K55" i="15" s="1"/>
  <c r="L20" i="15"/>
  <c r="I27" i="15"/>
  <c r="I53" i="15" s="1"/>
  <c r="O53" i="15"/>
  <c r="M20" i="15"/>
  <c r="K20" i="15"/>
  <c r="K78" i="15"/>
  <c r="K93" i="15" s="1"/>
  <c r="S84" i="15"/>
  <c r="S94" i="15" s="1"/>
  <c r="L78" i="15"/>
  <c r="L93" i="15" s="1"/>
  <c r="Q84" i="15"/>
  <c r="Q94" i="15" s="1"/>
  <c r="K84" i="15"/>
  <c r="K94" i="15" s="1"/>
  <c r="H76" i="25"/>
  <c r="H83" i="25" s="1"/>
  <c r="O93" i="15"/>
  <c r="M84" i="15"/>
  <c r="M94" i="15" s="1"/>
  <c r="I55" i="15"/>
  <c r="N53" i="15"/>
  <c r="S52" i="15"/>
  <c r="J78" i="15"/>
  <c r="J93" i="15" s="1"/>
  <c r="P53" i="15"/>
  <c r="L27" i="15"/>
  <c r="L53" i="15" s="1"/>
  <c r="T23" i="15"/>
  <c r="U23" i="15" s="1"/>
  <c r="R53" i="15"/>
  <c r="T74" i="15"/>
  <c r="W74" i="15" s="1"/>
  <c r="M53" i="15"/>
  <c r="R52" i="15"/>
  <c r="T13" i="15"/>
  <c r="J52" i="15"/>
  <c r="T15" i="15"/>
  <c r="U15" i="15" s="1"/>
  <c r="I11" i="15"/>
  <c r="I52" i="15" s="1"/>
  <c r="Q52" i="15"/>
  <c r="O52" i="15"/>
  <c r="K71" i="15"/>
  <c r="K92" i="15" s="1"/>
  <c r="K11" i="15"/>
  <c r="K52" i="15" s="1"/>
  <c r="M71" i="15"/>
  <c r="N71" i="15"/>
  <c r="N92" i="15" s="1"/>
  <c r="P93" i="15"/>
  <c r="M78" i="15"/>
  <c r="M93" i="15" s="1"/>
  <c r="T73" i="15"/>
  <c r="W73" i="15" s="1"/>
  <c r="N84" i="15"/>
  <c r="N94" i="15" s="1"/>
  <c r="L84" i="15"/>
  <c r="L94" i="15" s="1"/>
  <c r="R84" i="15"/>
  <c r="R94" i="15" s="1"/>
  <c r="O84" i="15"/>
  <c r="O94" i="15" s="1"/>
  <c r="P84" i="15"/>
  <c r="P94" i="15" s="1"/>
  <c r="T68" i="15"/>
  <c r="W68" i="15" s="1"/>
  <c r="T76" i="15"/>
  <c r="W76" i="15" s="1"/>
  <c r="T77" i="15"/>
  <c r="W77" i="15" s="1"/>
  <c r="T67" i="15"/>
  <c r="W67" i="15" s="1"/>
  <c r="T75" i="15"/>
  <c r="W75" i="15" s="1"/>
  <c r="L11" i="15"/>
  <c r="L52" i="15" s="1"/>
  <c r="S93" i="15"/>
  <c r="T83" i="15"/>
  <c r="W83" i="15" s="1"/>
  <c r="I84" i="15"/>
  <c r="I94" i="15" s="1"/>
  <c r="Q92" i="15"/>
  <c r="T69" i="15"/>
  <c r="W69" i="15" s="1"/>
  <c r="Q93" i="15"/>
  <c r="N78" i="15"/>
  <c r="T82" i="15"/>
  <c r="W82" i="15" s="1"/>
  <c r="T81" i="15"/>
  <c r="W81" i="15" s="1"/>
  <c r="P52" i="15"/>
  <c r="H71" i="15"/>
  <c r="H92" i="15" s="1"/>
  <c r="T80" i="15"/>
  <c r="W80" i="15" s="1"/>
  <c r="U12" i="15"/>
  <c r="T70" i="15"/>
  <c r="W70" i="15" s="1"/>
  <c r="H78" i="15"/>
  <c r="H93" i="15" s="1"/>
  <c r="T79" i="15"/>
  <c r="W79" i="15" s="1"/>
  <c r="K27" i="15"/>
  <c r="K53" i="15" s="1"/>
  <c r="J84" i="15"/>
  <c r="J94" i="15" s="1"/>
  <c r="H11" i="15"/>
  <c r="H52" i="15" s="1"/>
  <c r="U19" i="15"/>
  <c r="M11" i="15"/>
  <c r="N52" i="15"/>
  <c r="J20" i="15"/>
  <c r="H27" i="15"/>
  <c r="H53" i="15" s="1"/>
  <c r="T18" i="15"/>
  <c r="U18" i="15" s="1"/>
  <c r="I78" i="15"/>
  <c r="I93" i="15" s="1"/>
  <c r="Q53" i="15"/>
  <c r="T17" i="15"/>
  <c r="U17" i="15" s="1"/>
  <c r="H6" i="15"/>
  <c r="H84" i="15"/>
  <c r="H94" i="15" s="1"/>
  <c r="Q95" i="15"/>
  <c r="T72" i="15"/>
  <c r="W72" i="15" s="1"/>
  <c r="I71" i="15"/>
  <c r="T66" i="15"/>
  <c r="W66" i="15" s="1"/>
  <c r="T56" i="15" l="1"/>
  <c r="T53" i="15"/>
  <c r="R93" i="15"/>
  <c r="R96" i="15" s="1"/>
  <c r="R86" i="15"/>
  <c r="M33" i="15"/>
  <c r="M35" i="15" s="1"/>
  <c r="I86" i="15"/>
  <c r="S34" i="15"/>
  <c r="P51" i="15"/>
  <c r="P33" i="15"/>
  <c r="P35" i="15" s="1"/>
  <c r="O86" i="15"/>
  <c r="O33" i="15"/>
  <c r="O35" i="15" s="1"/>
  <c r="R55" i="15"/>
  <c r="R34" i="15"/>
  <c r="O55" i="15"/>
  <c r="O34" i="15"/>
  <c r="P55" i="15"/>
  <c r="P34" i="15"/>
  <c r="Q51" i="15"/>
  <c r="Q33" i="15"/>
  <c r="Q35" i="15" s="1"/>
  <c r="R51" i="15"/>
  <c r="R33" i="15"/>
  <c r="R35" i="15" s="1"/>
  <c r="S51" i="15"/>
  <c r="S33" i="15"/>
  <c r="S35" i="15" s="1"/>
  <c r="Q55" i="15"/>
  <c r="Q34" i="15"/>
  <c r="O51" i="15"/>
  <c r="M92" i="15"/>
  <c r="M96" i="15" s="1"/>
  <c r="M86" i="15"/>
  <c r="W78" i="15"/>
  <c r="W84" i="15"/>
  <c r="W71" i="15"/>
  <c r="S55" i="15"/>
  <c r="U24" i="15"/>
  <c r="N51" i="15"/>
  <c r="N55" i="15"/>
  <c r="L33" i="15"/>
  <c r="L35" i="15" s="1"/>
  <c r="M34" i="15"/>
  <c r="M51" i="15"/>
  <c r="M55" i="15"/>
  <c r="U13" i="15"/>
  <c r="U11" i="15" s="1"/>
  <c r="T11" i="15"/>
  <c r="T6" i="15"/>
  <c r="T85" i="15"/>
  <c r="W85" i="15" s="1"/>
  <c r="H34" i="15"/>
  <c r="H36" i="15" s="1"/>
  <c r="I34" i="15"/>
  <c r="J34" i="15"/>
  <c r="K51" i="15"/>
  <c r="K58" i="15" s="1"/>
  <c r="K33" i="15"/>
  <c r="K35" i="15" s="1"/>
  <c r="L51" i="15"/>
  <c r="L58" i="15" s="1"/>
  <c r="I33" i="15"/>
  <c r="I35" i="15" s="1"/>
  <c r="L34" i="15"/>
  <c r="K34" i="15"/>
  <c r="K36" i="15" s="1"/>
  <c r="J33" i="15"/>
  <c r="J35" i="15" s="1"/>
  <c r="H33" i="15"/>
  <c r="H35" i="15" s="1"/>
  <c r="E93" i="15"/>
  <c r="H51" i="15"/>
  <c r="E94" i="15"/>
  <c r="I51" i="15"/>
  <c r="I58" i="15" s="1"/>
  <c r="T84" i="15"/>
  <c r="T94" i="15" s="1"/>
  <c r="W93" i="15" s="1"/>
  <c r="S92" i="15"/>
  <c r="S96" i="15" s="1"/>
  <c r="S86" i="15"/>
  <c r="T20" i="15"/>
  <c r="K86" i="15"/>
  <c r="N86" i="15"/>
  <c r="N93" i="15"/>
  <c r="N96" i="15" s="1"/>
  <c r="T78" i="15"/>
  <c r="T93" i="15" s="1"/>
  <c r="W92" i="15" s="1"/>
  <c r="P86" i="15"/>
  <c r="J51" i="15"/>
  <c r="J58" i="15" s="1"/>
  <c r="O92" i="15"/>
  <c r="O96" i="15" s="1"/>
  <c r="M52" i="15"/>
  <c r="T52" i="15" s="1"/>
  <c r="H86" i="15"/>
  <c r="U7" i="15"/>
  <c r="U6" i="15" s="1"/>
  <c r="K96" i="15"/>
  <c r="P92" i="15"/>
  <c r="P96" i="15" s="1"/>
  <c r="U29" i="15"/>
  <c r="U27" i="15" s="1"/>
  <c r="I92" i="15"/>
  <c r="I96" i="15" s="1"/>
  <c r="H55" i="15"/>
  <c r="U21" i="15"/>
  <c r="U20" i="15" s="1"/>
  <c r="H96" i="15"/>
  <c r="Q86" i="15"/>
  <c r="Q96" i="15"/>
  <c r="S58" i="15" l="1"/>
  <c r="T34" i="15"/>
  <c r="T36" i="15" s="1"/>
  <c r="U34" i="15"/>
  <c r="U36" i="15" s="1"/>
  <c r="S45" i="15"/>
  <c r="S36" i="15"/>
  <c r="J45" i="15"/>
  <c r="J36" i="15"/>
  <c r="L45" i="15"/>
  <c r="L36" i="15"/>
  <c r="M45" i="15"/>
  <c r="M36" i="15"/>
  <c r="O45" i="15"/>
  <c r="O36" i="15"/>
  <c r="I45" i="15"/>
  <c r="I46" i="15" s="1"/>
  <c r="I36" i="15"/>
  <c r="P45" i="15"/>
  <c r="P36" i="15"/>
  <c r="Q45" i="15"/>
  <c r="Q36" i="15"/>
  <c r="R45" i="15"/>
  <c r="R36" i="15"/>
  <c r="O58" i="15"/>
  <c r="R58" i="15"/>
  <c r="T55" i="15"/>
  <c r="T51" i="15"/>
  <c r="H58" i="15"/>
  <c r="Q58" i="15"/>
  <c r="M58" i="15"/>
  <c r="N58" i="15"/>
  <c r="P58" i="15"/>
  <c r="U33" i="15"/>
  <c r="U35" i="15" s="1"/>
  <c r="F114" i="15"/>
  <c r="W86" i="15"/>
  <c r="F113" i="15"/>
  <c r="F111" i="15"/>
  <c r="F112" i="15"/>
  <c r="T33" i="15"/>
  <c r="T35" i="15" s="1"/>
  <c r="T38" i="15" s="1"/>
  <c r="T95" i="15"/>
  <c r="W94" i="15" s="1"/>
  <c r="E95" i="15"/>
  <c r="R98" i="15"/>
  <c r="K98" i="15"/>
  <c r="M88" i="15"/>
  <c r="P98" i="15"/>
  <c r="N88" i="15"/>
  <c r="M98" i="15"/>
  <c r="K88" i="15"/>
  <c r="N98" i="15"/>
  <c r="S88" i="15"/>
  <c r="S98" i="15"/>
  <c r="O98" i="15"/>
  <c r="I88" i="15"/>
  <c r="P88" i="15"/>
  <c r="H98" i="15"/>
  <c r="K45" i="15"/>
  <c r="I98" i="15"/>
  <c r="O88" i="15"/>
  <c r="Q88" i="15"/>
  <c r="Q98" i="15"/>
  <c r="N45" i="15"/>
  <c r="R88" i="15"/>
  <c r="H45" i="15"/>
  <c r="H46" i="15" s="1"/>
  <c r="H88" i="15"/>
  <c r="J46" i="15" l="1"/>
  <c r="K46" i="15" s="1"/>
  <c r="L46" i="15" s="1"/>
  <c r="T40" i="15"/>
  <c r="T41" i="15" s="1"/>
  <c r="T39" i="15"/>
  <c r="T58" i="15"/>
  <c r="F105" i="15"/>
  <c r="F108" i="15"/>
  <c r="F101" i="15"/>
  <c r="F103" i="15"/>
  <c r="F109" i="15"/>
  <c r="F110" i="15"/>
  <c r="F106" i="15"/>
  <c r="F107" i="15"/>
  <c r="F102" i="15"/>
  <c r="F104" i="15"/>
  <c r="F115" i="15"/>
  <c r="M46" i="15" l="1"/>
  <c r="N46" i="15" s="1"/>
  <c r="O46" i="15" s="1"/>
  <c r="P46" i="15" s="1"/>
  <c r="Q46" i="15" s="1"/>
  <c r="R46" i="15" s="1"/>
  <c r="S46" i="15" s="1"/>
  <c r="J71" i="15" l="1"/>
  <c r="J92" i="15" s="1"/>
  <c r="J96" i="15" s="1"/>
  <c r="J86" i="15" l="1"/>
  <c r="J88" i="15" s="1"/>
  <c r="J98" i="15" l="1"/>
  <c r="L71" i="15" l="1"/>
  <c r="L86" i="15" s="1"/>
  <c r="L88" i="15" s="1"/>
  <c r="E92" i="15" l="1"/>
  <c r="E96" i="15" s="1"/>
  <c r="L92" i="15"/>
  <c r="L96" i="15" s="1"/>
  <c r="L98" i="15" s="1"/>
  <c r="T71" i="15"/>
  <c r="T86" i="15" s="1"/>
  <c r="T92" i="15" l="1"/>
  <c r="T88" i="15"/>
  <c r="T96" i="15" l="1"/>
  <c r="T98" i="15" s="1"/>
  <c r="W91" i="15"/>
  <c r="W9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<sst xmlns="http://schemas.openxmlformats.org/spreadsheetml/2006/main" count="4458" uniqueCount="1040">
  <si>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</si>
  <si>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</si>
  <si>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</si>
  <si>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</si>
  <si>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</si>
  <si>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</si>
  <si>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</si>
  <si>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</si>
  <si>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</si>
  <si>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</si>
  <si>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</si>
  <si>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</si>
  <si>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</si>
  <si>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</si>
  <si>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</si>
  <si>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</si>
  <si>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</si>
  <si>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</si>
  <si>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</si>
  <si>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</si>
  <si>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</si>
  <si>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</si>
  <si>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</si>
  <si>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</si>
  <si>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</si>
  <si>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</si>
  <si>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</si>
  <si>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</si>
  <si>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</si>
  <si>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</si>
  <si>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</si>
  <si>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</si>
  <si>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</si>
  <si>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</si>
  <si>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</si>
  <si>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</si>
  <si>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</si>
  <si>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</si>
  <si>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</si>
  <si>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</si>
  <si>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</si>
  <si>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</si>
  <si>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</si>
  <si>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</si>
  <si>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</si>
  <si>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</si>
  <si>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</si>
  <si>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</si>
  <si>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</si>
  <si>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</si>
  <si>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</si>
  <si>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</si>
  <si>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</si>
  <si>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</si>
  <si>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</si>
  <si>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</si>
  <si>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</si>
  <si>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</si>
  <si>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</si>
  <si>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</si>
  <si>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</si>
  <si>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</si>
  <si>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</si>
  <si>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</si>
  <si>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</si>
  <si>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</si>
  <si>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</si>
  <si>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</si>
  <si>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</si>
  <si>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 M$</t>
  </si>
  <si>
    <t>EJECUTADO M$</t>
  </si>
  <si>
    <t>Deuda Flotante</t>
  </si>
  <si>
    <t>Total M$</t>
  </si>
  <si>
    <t>NOTA: Se considera la deuda flotante por la suma de M$ 2.782.890 - Subtitulo 34</t>
  </si>
  <si>
    <t>POR COMUNA M$ 2024</t>
  </si>
  <si>
    <t>POR COMUNA (M$)</t>
  </si>
  <si>
    <t>POR COMUNA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</si>
  <si>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</si>
  <si>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</si>
  <si>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</si>
  <si>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</si>
  <si>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</si>
  <si>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</si>
  <si>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</si>
  <si>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</si>
  <si>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</si>
  <si>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</si>
  <si>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</si>
  <si>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</si>
  <si>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</si>
  <si>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</si>
  <si>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</si>
  <si>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</si>
  <si>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</si>
  <si>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</si>
  <si>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</si>
  <si>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</si>
  <si>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</si>
  <si>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</si>
  <si>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</si>
  <si>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</si>
  <si>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</si>
  <si>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</si>
  <si>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</si>
  <si>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</si>
  <si>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</si>
  <si>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</si>
  <si>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</si>
  <si>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</si>
  <si>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</si>
  <si>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</si>
  <si>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 M$</t>
  </si>
  <si>
    <t>2020</t>
  </si>
  <si>
    <t>2021</t>
  </si>
  <si>
    <t>2022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</si>
  <si>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</si>
  <si>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</si>
  <si>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</si>
  <si>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</si>
  <si>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</si>
  <si>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</si>
  <si>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</si>
  <si>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</si>
  <si>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</si>
  <si>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</si>
  <si>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</si>
  <si>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</si>
  <si>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</si>
  <si>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</si>
  <si>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</si>
  <si>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</si>
  <si>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</si>
  <si>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</si>
  <si>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</si>
  <si>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</si>
  <si>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</si>
  <si>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</si>
  <si>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</si>
  <si>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</si>
  <si>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</si>
  <si>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</si>
  <si>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</si>
  <si>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</si>
  <si>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</si>
  <si>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TRANSFERENCIA DE BIENES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</si>
  <si>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</si>
  <si>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</si>
  <si>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</si>
  <si>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</si>
  <si>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</si>
  <si>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</si>
  <si>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</si>
  <si>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</si>
  <si>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</si>
  <si>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</si>
  <si>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</si>
  <si>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</si>
  <si>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</si>
  <si>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</si>
  <si>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</si>
  <si>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</si>
  <si>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</si>
  <si>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</si>
  <si>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</si>
  <si>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</si>
  <si>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TERMINADO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</si>
  <si>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</si>
  <si>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</si>
  <si>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</si>
  <si>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</si>
  <si>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</si>
  <si>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</si>
  <si>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</si>
  <si>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</si>
  <si>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</si>
  <si>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</si>
  <si>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</si>
  <si>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</si>
  <si>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</si>
  <si>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</si>
  <si>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</si>
  <si>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</si>
  <si>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</si>
  <si>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</si>
  <si>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</si>
  <si>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</si>
  <si>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</si>
  <si>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</si>
  <si>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</si>
  <si>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</si>
  <si>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</si>
  <si>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TOTALMENTE TRAMITADA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</si>
  <si>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</si>
  <si>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</si>
  <si>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</si>
  <si>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</si>
  <si>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</si>
  <si>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</si>
  <si>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</si>
  <si>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</si>
  <si>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</si>
  <si>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</si>
  <si>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</si>
  <si>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</si>
  <si>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</si>
  <si>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</si>
  <si>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</si>
  <si>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</si>
  <si>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</si>
  <si>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</si>
  <si>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</si>
  <si>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</si>
  <si>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</si>
  <si>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</si>
  <si>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</si>
  <si>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</si>
  <si>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</si>
  <si>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</si>
  <si>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</si>
  <si>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</si>
  <si>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</si>
  <si>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</si>
  <si>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</si>
  <si>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</si>
  <si>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</si>
  <si>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</si>
  <si>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</si>
  <si>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</si>
  <si>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</si>
  <si>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</si>
  <si>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</si>
  <si>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</si>
  <si>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</si>
  <si>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</si>
  <si>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</si>
  <si>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</si>
  <si>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</si>
  <si>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</si>
  <si>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</si>
  <si>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</si>
  <si>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</si>
  <si>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</si>
  <si>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</si>
  <si>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</si>
  <si>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</si>
  <si>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</si>
  <si>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</si>
  <si>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</si>
  <si>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</si>
  <si>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</si>
  <si>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</si>
  <si>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</si>
  <si>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</si>
  <si>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</si>
  <si>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</si>
  <si>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</si>
  <si>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</si>
  <si>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</si>
  <si>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</si>
  <si>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</si>
  <si>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</si>
  <si>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</si>
  <si>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</si>
  <si>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</si>
  <si>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</si>
  <si>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</si>
  <si>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TOTALMENTE TRAMITADO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</si>
  <si>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</si>
  <si>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</si>
  <si>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</si>
  <si>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</si>
  <si>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</si>
  <si>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</si>
  <si>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</si>
  <si>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</si>
  <si>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</si>
  <si>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</si>
  <si>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</si>
  <si>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</si>
  <si>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</si>
  <si>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</si>
  <si>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</si>
  <si>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</si>
  <si>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</si>
  <si>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</si>
  <si>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</si>
  <si>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</si>
  <si>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</si>
  <si>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</si>
  <si>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</si>
  <si>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</si>
  <si>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</si>
  <si>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PERDIÓ AT</t>
  </si>
  <si>
    <t>ADQUISICION MAQUINARIA VERTEDERO MUNICIPAL DE MONTE PATRIA</t>
  </si>
  <si>
    <t>REPOSICION CAMION RECOLECTOR ILLAPEL, COMUNA DE ILLAPEL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</si>
  <si>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</si>
  <si>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</si>
  <si>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</si>
  <si>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</si>
  <si>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</si>
  <si>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</si>
  <si>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</si>
  <si>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</si>
  <si>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</si>
  <si>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</si>
  <si>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</si>
  <si>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</si>
  <si>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</si>
  <si>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</si>
  <si>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</si>
  <si>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</si>
  <si>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</si>
  <si>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</si>
  <si>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</si>
  <si>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</si>
  <si>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</si>
  <si>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</si>
  <si>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</si>
  <si>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</si>
  <si>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</si>
  <si>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</si>
  <si>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</si>
  <si>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</si>
  <si>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</si>
  <si>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</si>
  <si>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</si>
  <si>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</si>
  <si>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</si>
  <si>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</si>
  <si>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</si>
  <si>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</si>
  <si>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</si>
  <si>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</si>
  <si>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</si>
  <si>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</si>
  <si>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</si>
  <si>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</si>
  <si>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</si>
  <si>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CONVENIO EN TRÁMITE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</si>
  <si>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</si>
  <si>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</si>
  <si>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</si>
  <si>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</si>
  <si>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</si>
  <si>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</si>
  <si>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</si>
  <si>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</si>
  <si>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</si>
  <si>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</si>
  <si>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</si>
  <si>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</si>
  <si>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</si>
  <si>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</si>
  <si>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</si>
  <si>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</si>
  <si>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</si>
  <si>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</si>
  <si>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</si>
  <si>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</si>
  <si>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</si>
  <si>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</si>
  <si>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</si>
  <si>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</si>
  <si>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</si>
  <si>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</si>
  <si>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</si>
  <si>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</si>
  <si>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</si>
  <si>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</si>
  <si>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</si>
  <si>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</si>
  <si>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</si>
  <si>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</si>
  <si>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</si>
  <si>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</si>
  <si>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</si>
  <si>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</si>
  <si>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</si>
  <si>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</si>
  <si>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</si>
  <si>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</si>
  <si>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</si>
  <si>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</si>
  <si>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</si>
  <si>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</si>
  <si>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</si>
  <si>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</si>
  <si>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</si>
  <si>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</si>
  <si>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</si>
  <si>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</si>
  <si>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</si>
  <si>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</si>
  <si>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</si>
  <si>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</si>
  <si>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</si>
  <si>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</si>
  <si>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</si>
  <si>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</si>
  <si>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</si>
  <si>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</si>
  <si>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</si>
  <si>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</si>
  <si>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</si>
  <si>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</si>
  <si>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</si>
  <si>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</si>
  <si>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</si>
  <si>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</si>
  <si>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</si>
  <si>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</si>
  <si>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</si>
  <si>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</si>
  <si>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</si>
  <si>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</si>
  <si>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</si>
  <si>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</si>
  <si>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</si>
  <si>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</si>
  <si>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</si>
  <si>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</si>
  <si>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</si>
  <si>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</si>
  <si>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</si>
  <si>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</si>
  <si>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</si>
  <si>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</si>
  <si>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</si>
  <si>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</si>
  <si>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</si>
  <si>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</si>
  <si>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</si>
  <si>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</si>
  <si>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</si>
  <si>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</si>
  <si>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</si>
  <si>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</si>
  <si>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</si>
  <si>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</si>
  <si>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</si>
  <si>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</si>
  <si>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</si>
  <si>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</si>
  <si>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</si>
  <si>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</si>
  <si>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</si>
  <si>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</si>
  <si>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</si>
  <si>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</si>
  <si>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</si>
  <si>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</si>
  <si>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</si>
  <si>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</si>
  <si>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</si>
  <si>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</si>
  <si>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</si>
  <si>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</si>
  <si>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</si>
  <si>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</si>
  <si>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</si>
  <si>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</si>
  <si>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</si>
  <si>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</si>
  <si>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</si>
  <si>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</si>
  <si>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</si>
  <si>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</si>
  <si>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</si>
  <si>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</si>
  <si>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</si>
  <si>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</si>
  <si>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</si>
  <si>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</si>
  <si>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</si>
  <si>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</si>
  <si>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</si>
  <si>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</si>
  <si>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</si>
  <si>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</si>
  <si>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</si>
  <si>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</si>
  <si>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</si>
  <si>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</si>
  <si>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</si>
  <si>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</si>
  <si>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</si>
  <si>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</si>
  <si>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</si>
  <si>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PRIORIZADO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</si>
  <si>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</si>
  <si>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</si>
  <si>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</si>
  <si>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</si>
  <si>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</si>
  <si>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</si>
  <si>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</si>
  <si>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</si>
  <si>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</si>
  <si>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</si>
  <si>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</si>
  <si>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</si>
  <si>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</si>
  <si>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</si>
  <si>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</si>
  <si>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</si>
  <si>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</si>
  <si>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</si>
  <si>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</si>
  <si>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</si>
  <si>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</si>
  <si>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</si>
  <si>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</si>
  <si>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</si>
  <si>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</si>
  <si>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</si>
  <si>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</si>
  <si>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</si>
  <si>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</si>
  <si>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</si>
  <si>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</si>
  <si>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</si>
  <si>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</si>
  <si>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</si>
  <si>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</si>
  <si>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</si>
  <si>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</si>
  <si>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</si>
  <si>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</si>
  <si>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</si>
  <si>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</si>
  <si>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</si>
  <si>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</si>
  <si>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</si>
  <si>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</si>
  <si>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</si>
  <si>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</si>
  <si>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</si>
  <si>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</si>
  <si>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</si>
  <si>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</si>
  <si>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</si>
  <si>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</si>
  <si>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</si>
  <si>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</si>
  <si>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</si>
  <si>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</si>
  <si>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</si>
  <si>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</si>
  <si>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</si>
  <si>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</si>
  <si>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</si>
  <si>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</si>
  <si>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</si>
  <si>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</si>
  <si>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</si>
  <si>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</si>
  <si>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</si>
  <si>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</si>
  <si>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</si>
  <si>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</si>
  <si>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</si>
  <si>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</si>
  <si>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</si>
  <si>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</si>
  <si>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</si>
  <si>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</si>
  <si>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</si>
  <si>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</si>
  <si>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</si>
  <si>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CONTRATO EN FIRMA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</si>
  <si>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</si>
  <si>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</si>
  <si>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</si>
  <si>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</si>
  <si>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</si>
  <si>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</si>
  <si>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</si>
  <si>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</si>
  <si>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</si>
  <si>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</si>
  <si>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</si>
  <si>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</si>
  <si>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</si>
  <si>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</si>
  <si>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</si>
  <si>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</si>
  <si>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</si>
  <si>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</si>
  <si>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</si>
  <si>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</si>
  <si>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</si>
  <si>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</si>
  <si>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</si>
  <si>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</si>
  <si>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</si>
  <si>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</si>
  <si>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</si>
  <si>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</si>
  <si>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</si>
  <si>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</si>
  <si>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</si>
  <si>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</si>
  <si>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</si>
  <si>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</si>
  <si>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</si>
  <si>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</si>
  <si>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</si>
  <si>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</si>
  <si>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</si>
  <si>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</si>
  <si>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</si>
  <si>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</si>
  <si>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</si>
  <si>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</si>
  <si>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</si>
  <si>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</si>
  <si>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</si>
  <si>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</si>
  <si>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</si>
  <si>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</si>
  <si>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</si>
  <si>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</si>
  <si>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</si>
  <si>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</si>
  <si>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</si>
  <si>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</si>
  <si>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</si>
  <si>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</si>
  <si>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</si>
  <si>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</si>
  <si>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</si>
  <si>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</si>
  <si>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</si>
  <si>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</si>
  <si>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</si>
  <si>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</si>
  <si>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</si>
  <si>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</si>
  <si>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</si>
  <si>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</si>
  <si>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</si>
  <si>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</si>
  <si>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</si>
  <si>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SAG</t>
  </si>
  <si>
    <t>100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</si>
  <si>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</si>
  <si>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</si>
  <si>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</si>
  <si>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</si>
  <si>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</si>
  <si>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</si>
  <si>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</si>
  <si>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</si>
  <si>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</si>
  <si>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ESTUDIO BASICO PREFACTIBILIDAD PARA LA INSTALACIÓN DE UN PARQUE CIENTIFICO TECNOLOGICO EN LA REGION DE COQUIMBO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</si>
  <si>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</si>
  <si>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</si>
  <si>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</si>
  <si>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</si>
  <si>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</si>
  <si>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</si>
  <si>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</si>
  <si>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</si>
  <si>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</si>
  <si>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</si>
  <si>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</si>
  <si>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</si>
  <si>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</si>
  <si>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</si>
  <si>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</si>
  <si>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</si>
  <si>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</si>
  <si>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</si>
  <si>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</si>
  <si>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</si>
  <si>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</si>
  <si>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</si>
  <si>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</si>
  <si>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</si>
  <si>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</si>
  <si>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</si>
  <si>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</si>
  <si>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</si>
  <si>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</si>
  <si>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</si>
  <si>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</si>
  <si>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</si>
  <si>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</si>
  <si>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</si>
  <si>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</si>
  <si>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</si>
  <si>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</si>
  <si>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</si>
  <si>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</si>
  <si>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</si>
  <si>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</si>
  <si>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</si>
  <si>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</si>
  <si>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</si>
  <si>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</si>
  <si>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</si>
  <si>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</si>
  <si>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</si>
  <si>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</si>
  <si>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</si>
  <si>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</si>
  <si>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</si>
  <si>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</si>
  <si>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</si>
  <si>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</si>
  <si>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</si>
  <si>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</si>
  <si>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</si>
  <si>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</si>
  <si>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</si>
  <si>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</si>
  <si>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</si>
  <si>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</si>
  <si>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</si>
  <si>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</si>
  <si>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</si>
  <si>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</si>
  <si>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</si>
  <si>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</si>
  <si>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</si>
  <si>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</si>
  <si>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</si>
  <si>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</si>
  <si>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</si>
  <si>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</si>
  <si>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</si>
  <si>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RECURSOS TRANSFERIDOS EN 2024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</si>
  <si>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</si>
  <si>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</si>
  <si>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</si>
  <si>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</si>
  <si>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</si>
  <si>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</si>
  <si>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</si>
  <si>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</si>
  <si>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</si>
  <si>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</si>
  <si>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</si>
  <si>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</si>
  <si>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</si>
  <si>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</si>
  <si>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</si>
  <si>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</si>
  <si>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</si>
  <si>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</si>
  <si>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</si>
  <si>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</si>
  <si>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</si>
  <si>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</si>
  <si>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</si>
  <si>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</si>
  <si>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</si>
  <si>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</si>
  <si>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</si>
  <si>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</si>
  <si>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</si>
  <si>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</si>
  <si>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</si>
  <si>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</si>
  <si>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</si>
  <si>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</si>
  <si>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</si>
  <si>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</si>
  <si>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</si>
  <si>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</si>
  <si>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</si>
  <si>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</si>
  <si>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</si>
  <si>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</si>
  <si>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</si>
  <si>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</si>
  <si>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RECURSOS HÍDRICOS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</si>
  <si>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</si>
  <si>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</si>
  <si>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</si>
  <si>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</si>
  <si>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</si>
  <si>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</si>
  <si>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</si>
  <si>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</si>
  <si>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</si>
  <si>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</si>
  <si>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</si>
  <si>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</si>
  <si>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</si>
  <si>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</si>
  <si>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</si>
  <si>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</si>
  <si>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</si>
  <si>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</si>
  <si>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</si>
  <si>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</si>
  <si>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</si>
  <si>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</si>
  <si>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</si>
  <si>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</si>
  <si>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</si>
  <si>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</si>
  <si>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</si>
  <si>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</si>
  <si>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</si>
  <si>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</si>
  <si>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</si>
  <si>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</si>
  <si>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</si>
  <si>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</si>
  <si>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</si>
  <si>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</si>
  <si>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</si>
  <si>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</si>
  <si>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</si>
  <si>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MEJORAMIENTO SISTEMA ALCANTARILLADO LOTEO NUEVO AMANECER, PZG</t>
  </si>
  <si>
    <t>CONSTRUCCION CANCHA DE PASTO SINTETICO LA CORTADERA, CANELA</t>
  </si>
  <si>
    <t>CONSTRUCCION CANCHA DE PASTO SINTETICO MINCHA NORTE, CANELA</t>
  </si>
  <si>
    <t>CONSTRUCCION DE LUMINARIAS SOLARES, COMUNA DE RIO HURTADO</t>
  </si>
  <si>
    <t>INSTALACIÓN LUMINARIAS EN VARIAS LOCALIDADES DE COMBARBALÁ</t>
  </si>
  <si>
    <t>MEJORAMIENTO RECINTO MUNICIPAL PICHASCA</t>
  </si>
  <si>
    <t>MEJORAMIENTO ESPACIOS DE RECREACION CASINO LAS BREAS</t>
  </si>
  <si>
    <t>CONSTRUCCION PLAZA DE JUEGOS DE LAS PIRCAS, CANELA</t>
  </si>
  <si>
    <t>MEJORAMIENTO ALUMBRADO PÚBLICO EN CALLES, PASAJES EN DIVERSOS  SECTORES DE LA COMUNA, CANELA</t>
  </si>
  <si>
    <t>CONSTRUCCION TECHADO MULTICANCHA CLUB DEPORTIVO UNION LAS TAZAS, CANELA</t>
  </si>
  <si>
    <t>HABILITACION CENTRO DE ATENCIÓN CIUDADANA PICHASCA</t>
  </si>
  <si>
    <t>MEJORAMIENTO PAVIMENTACIÓN DE CALZADAS, VEREDAS Y AGUAS LLUVIAS CALLES 1,2 Y 4, POBLACIÓN MONTEGABRIELA, MONTEGRANDE, COMUNA PAIHUANO</t>
  </si>
  <si>
    <t>CONSTRUCCION MULTICANCHA VILLA EL ESFUERZO III</t>
  </si>
  <si>
    <t>MEJORAMIENTO ESPACIO PÚBLICO, PASEO BALMACEDA, PAIHUANO, COMUNA DE PAIHUANO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</si>
  <si>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</si>
  <si>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</si>
  <si>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</si>
  <si>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</si>
  <si>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</si>
  <si>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</si>
  <si>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</si>
  <si>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</si>
  <si>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</si>
  <si>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</si>
  <si>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</si>
  <si>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</si>
  <si>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</si>
  <si>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</si>
  <si>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</si>
  <si>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</si>
  <si>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</si>
  <si>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</si>
  <si>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</si>
  <si>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</si>
  <si>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</si>
  <si>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</si>
  <si>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</si>
  <si>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</si>
  <si>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</si>
  <si>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</si>
  <si>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</si>
  <si>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</si>
  <si>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</si>
  <si>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</si>
  <si>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</si>
  <si>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</si>
  <si>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</si>
  <si>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</si>
  <si>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</si>
  <si>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</si>
  <si>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</si>
  <si>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</si>
  <si>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</si>
  <si>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</si>
  <si>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</si>
  <si>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</si>
  <si>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</si>
  <si>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</si>
  <si>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</si>
  <si>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</si>
  <si>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</si>
  <si>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</si>
  <si>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</si>
  <si>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</si>
  <si>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</si>
  <si>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</si>
  <si>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</si>
  <si>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</si>
  <si>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</si>
  <si>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</si>
  <si>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</si>
  <si>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</si>
  <si>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</si>
  <si>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</si>
  <si>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</si>
  <si>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</si>
  <si>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</si>
  <si>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</si>
  <si>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</si>
  <si>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</si>
  <si>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</si>
  <si>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</si>
  <si>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</si>
  <si>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</si>
  <si>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</si>
  <si>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</si>
  <si>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</si>
  <si>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</si>
  <si>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</si>
  <si>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</si>
  <si>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</si>
  <si>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</si>
  <si>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</si>
  <si>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</si>
  <si>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</si>
  <si>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</si>
  <si>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</si>
  <si>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</si>
  <si>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</si>
  <si>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</si>
  <si>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</si>
  <si>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</si>
  <si>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</si>
  <si>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</si>
  <si>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</si>
  <si>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</si>
  <si>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</si>
  <si>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</si>
  <si>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</si>
  <si>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</si>
  <si>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</si>
  <si>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</si>
  <si>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</si>
  <si>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</si>
  <si>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</si>
  <si>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</si>
  <si>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</si>
  <si>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</si>
  <si>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</si>
  <si>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</si>
  <si>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</si>
  <si>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</si>
  <si>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</si>
  <si>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</si>
  <si>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</si>
  <si>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</si>
  <si>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</si>
  <si>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</si>
  <si>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</si>
  <si>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</si>
  <si>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</si>
  <si>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</si>
  <si>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</si>
  <si>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</si>
  <si>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</si>
  <si>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</si>
  <si>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</si>
  <si>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</si>
  <si>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</si>
  <si>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</si>
  <si>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</si>
  <si>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</si>
  <si>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</si>
  <si>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</si>
  <si>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</si>
  <si>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</si>
  <si>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</si>
  <si>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</si>
  <si>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</si>
  <si>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</si>
  <si>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</si>
  <si>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</si>
  <si>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</si>
  <si>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</si>
  <si>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</si>
  <si>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</si>
  <si>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</si>
  <si>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</si>
  <si>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</si>
  <si>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</si>
  <si>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</si>
  <si>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</si>
  <si>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</si>
  <si>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</si>
  <si>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</si>
  <si>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</si>
  <si>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</si>
  <si>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</si>
  <si>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</si>
  <si>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</si>
  <si>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</si>
  <si>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</si>
  <si>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</si>
  <si>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</si>
  <si>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</si>
  <si>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</si>
  <si>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</si>
  <si>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</si>
  <si>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</si>
  <si>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</si>
  <si>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</si>
  <si>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</si>
  <si>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</si>
  <si>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</si>
  <si>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</si>
  <si>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</si>
  <si>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</si>
  <si>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</si>
  <si>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</si>
  <si>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</si>
  <si>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</si>
  <si>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</si>
  <si>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</si>
  <si>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</si>
  <si>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</si>
  <si>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</si>
  <si>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</si>
  <si>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</si>
  <si>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</si>
  <si>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</si>
  <si>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</si>
  <si>
    <t>REPOSICION VENTILADORES MECÁNICOS INVASIVOS PARA UPC PARA EL HOSPITAL DE COQUIMBO</t>
  </si>
  <si>
    <t>REPOSICION CAMIONETA 4x4 PARA REHABILITACION DEL SERVICIO SALUD COQUIMBO</t>
  </si>
  <si>
    <t>CONSTRUCCIÓN CENTRO DE INSPECCIÓNSAG/USDA FRUTA FRESCA REGIÓN DE COQUIMBO</t>
  </si>
  <si>
    <t xml:space="preserve">CONSTRUCCION PLAZA TEGUALDA, LOS VILOS </t>
  </si>
  <si>
    <t>MEJORAMIENTO MULTICANCHA CUZ CUZ, ILLAPEL </t>
  </si>
  <si>
    <t>MEJORAMIENTO AREA VERDE VILLA PUEBLO NUEVO, COMUNA DE PUNITAQUI</t>
  </si>
  <si>
    <t>CONSTRUCCIÓN Y PAVIMENTACIÓN PUENTE VISTA HERMOSA, MONTE PATRIA</t>
  </si>
  <si>
    <t>MEJORAMIENTO PLAZA PASEO CENTRAL, COMUNA DE ILLAPEL</t>
  </si>
  <si>
    <t>MEJORAMIENTO PLAZOLETA MALLACURA, COMUNA DE ILLAPEL</t>
  </si>
  <si>
    <t>MEJORAMIENTO ESPACIO PUBLICO GABRIELA MISTRAL</t>
  </si>
  <si>
    <t>MEJORAMIENTO PORTAL DE ACCESO PAIHUANO, COMUNA DE PAIHUANO</t>
  </si>
  <si>
    <t>SUBSECRETARIA DE TRANSPORTE</t>
  </si>
  <si>
    <t>DESISTIDO UT</t>
  </si>
  <si>
    <t>REBAJA PRESUPUESTARIA TOTALMENTE TRAMITADA 2024</t>
  </si>
  <si>
    <t>14956 - 15131</t>
  </si>
  <si>
    <t>ADQUISICIÓN DE 02 AERONAVES NO TRIPULADA PARA CARABINEROS DE LA REGIÓN DE COQUIMBO (CAMCOPTER)</t>
  </si>
  <si>
    <t>14499 - 15202</t>
  </si>
  <si>
    <t>ANÁLISIS DE PREFACTIBILIDAD PARA LA INSTALACIÓN DE PLANTAS DE REÚSO AST REGIÓN DE COQUIMBO</t>
  </si>
  <si>
    <t>REPOSICION DE VEHÍCULOS TÁCTICOS PARA LA 3RA. COM. COP COQUIMBO</t>
  </si>
  <si>
    <t>Análisis Factibilidad para la Gestión e Instalación Teatro Regional, Región de Coquimbo</t>
  </si>
  <si>
    <t>FINANCIAMIENTO BASAL PARA CEAZA 2025</t>
  </si>
  <si>
    <t>CULTURA Y PATRIMONIO</t>
  </si>
  <si>
    <t>MEJORAMIENTO MULTICANCHAS VARIOS SECTORES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</si>
</sst>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11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3" fontId="15" fillId="0" borderId="6" xfId="0" applyNumberFormat="1" applyFont="1" applyBorder="1" applyAlignment="1">
      <alignment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3" fontId="15" fillId="10" borderId="6" xfId="0" applyNumberFormat="1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3" fontId="1" fillId="6" borderId="9" xfId="0" applyNumberFormat="1" applyFont="1" applyFill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4" fillId="16" borderId="0" xfId="0" applyFont="1" applyFill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vertical="center" wrapText="1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RESUMEN'!$G$51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RESUMEN'!$H$50:$S$50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RESUMEN'!$H$51:$S$51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1567396.095</c:v>
                </c:pt>
                <c:pt idx="3">
                  <c:v>441930.89200000005</c:v>
                </c:pt>
                <c:pt idx="4">
                  <c:v>461615.16799999995</c:v>
                </c:pt>
                <c:pt idx="5">
                  <c:v>752774.26399999997</c:v>
                </c:pt>
                <c:pt idx="6">
                  <c:v>510468.61800000002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RESUMEN'!$G$52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RESUMEN'!$H$50:$S$50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RESUMEN'!$H$52:$S$52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186247.26</c:v>
                </c:pt>
                <c:pt idx="3">
                  <c:v>671703.81400000001</c:v>
                </c:pt>
                <c:pt idx="4">
                  <c:v>2227955.0729999999</c:v>
                </c:pt>
                <c:pt idx="5">
                  <c:v>0</c:v>
                </c:pt>
                <c:pt idx="6">
                  <c:v>86191.7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RESUMEN'!$G$53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RESUMEN'!$H$50:$S$50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RESUMEN'!$H$53:$S$53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744746.81400000001</c:v>
                </c:pt>
                <c:pt idx="3">
                  <c:v>819448.26799999981</c:v>
                </c:pt>
                <c:pt idx="4">
                  <c:v>1068051.2340000002</c:v>
                </c:pt>
                <c:pt idx="5">
                  <c:v>835548.40899999999</c:v>
                </c:pt>
                <c:pt idx="6">
                  <c:v>1067530.3739999998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RESUMEN'!$G$55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RESUMEN'!$H$50:$S$50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RESUMEN'!$H$55:$S$55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1071190.7339999999</c:v>
                </c:pt>
                <c:pt idx="3">
                  <c:v>765399.82799999998</c:v>
                </c:pt>
                <c:pt idx="4">
                  <c:v>565338.728</c:v>
                </c:pt>
                <c:pt idx="5">
                  <c:v>1309194.416</c:v>
                </c:pt>
                <c:pt idx="6">
                  <c:v>971971.37300000014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RESUMEN'!$G$56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RESUMEN'!$H$50:$S$50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RESUMEN'!$H$56:$S$56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RESUMEN'!$C$101:$C$114</c:f>
              <c:strCach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strCache>
            </c:strRef>
          </c:cat>
          <c:val>
            <c:numRef>
              <c:f>'2025 RESUMEN'!$E$101:$E$114</c:f>
              <c:numCache>
                <c:formatCode>#,##0</c:formatCode>
                <c:ptCount val="14"/>
                <c:pt idx="0">
                  <c:v>1224.73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2375865.7250000001</c:v>
                </c:pt>
                <c:pt idx="7">
                  <c:v>1114747.0689999999</c:v>
                </c:pt>
                <c:pt idx="8">
                  <c:v>528081.59299999999</c:v>
                </c:pt>
                <c:pt idx="9">
                  <c:v>3499244.7660000003</c:v>
                </c:pt>
                <c:pt idx="10">
                  <c:v>830095.14299999992</c:v>
                </c:pt>
                <c:pt idx="11">
                  <c:v>6752593.4900000002</c:v>
                </c:pt>
                <c:pt idx="12">
                  <c:v>5020940.9520000005</c:v>
                </c:pt>
                <c:pt idx="13">
                  <c:v>99941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RESUMEN'!$V$91:$V$94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RESUMEN'!$W$91:$W$94</c:f>
              <c:numCache>
                <c:formatCode>#,##0</c:formatCode>
                <c:ptCount val="4"/>
                <c:pt idx="0">
                  <c:v>3710371.3790000002</c:v>
                </c:pt>
                <c:pt idx="1">
                  <c:v>6503719.9010000005</c:v>
                </c:pt>
                <c:pt idx="2">
                  <c:v>5148631.4840000011</c:v>
                </c:pt>
                <c:pt idx="3">
                  <c:v>4860011.7039999999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30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99</xdr:row>
      <xdr:rowOff>32487</xdr:rowOff>
    </xdr:from>
    <xdr:to>
      <xdr:col>15</xdr:col>
      <xdr:colOff>610621</xdr:colOff>
      <xdr:row>120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29765</xdr:colOff>
      <xdr:row>98</xdr:row>
      <xdr:rowOff>187267</xdr:rowOff>
    </xdr:from>
    <xdr:to>
      <xdr:col>23</xdr:col>
      <xdr:colOff>355486</xdr:colOff>
      <xdr:row>118</xdr:row>
      <xdr:rowOff>113959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2"/>
  <sheetViews>
    <sheetView zoomScale="70" zoomScaleNormal="70" workbookViewId="0">
      <selection activeCell="G32" sqref="G32"/>
    </sheetView>
  </sheetViews>
  <sheetFormatPr baseColWidth="10" defaultColWidth="11.42578125" defaultRowHeight="16.5"/>
  <cols>
    <col min="1" max="1" width="5.85546875" style="8" customWidth="1"/>
    <col min="2" max="2" width="8" style="42" customWidth="1"/>
    <col min="3" max="3" width="7.140625" style="42" customWidth="1"/>
    <col min="4" max="4" width="28.42578125" style="44" customWidth="1"/>
    <col min="5" max="5" width="21.85546875" style="8" customWidth="1"/>
    <col min="6" max="6" width="18" style="8" customWidth="1"/>
    <col min="7" max="7" width="20.140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8.570312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75" t="s">
        <v>0</v>
      </c>
      <c r="B1" s="8"/>
      <c r="C1" s="68"/>
      <c r="D1" s="68"/>
      <c r="E1" s="68"/>
      <c r="F1" s="68"/>
    </row>
    <row r="2" spans="1:21" ht="25.5" customHeight="1">
      <c r="A2" s="275" t="s">
        <v>1</v>
      </c>
      <c r="B2" s="8"/>
      <c r="C2" s="68"/>
      <c r="D2" s="68"/>
      <c r="E2" s="68"/>
      <c r="F2" s="68"/>
      <c r="H2" s="71" t="s">
        <v>2</v>
      </c>
    </row>
    <row r="3" spans="1:21" ht="17.25" customHeight="1">
      <c r="B3" s="304">
        <v>45839</v>
      </c>
      <c r="C3" s="305"/>
      <c r="D3" s="305"/>
      <c r="E3" s="305"/>
      <c r="F3" s="305"/>
      <c r="H3" s="37" t="s">
        <v>3</v>
      </c>
      <c r="I3" s="37" t="s">
        <v>3</v>
      </c>
      <c r="J3" s="37" t="s">
        <v>3</v>
      </c>
      <c r="K3" s="37" t="s">
        <v>3</v>
      </c>
      <c r="L3" s="37" t="s">
        <v>3</v>
      </c>
      <c r="M3" s="37" t="s">
        <v>3</v>
      </c>
      <c r="N3" s="37" t="s">
        <v>3</v>
      </c>
      <c r="O3" s="37" t="s">
        <v>3</v>
      </c>
      <c r="P3" s="37" t="s">
        <v>3</v>
      </c>
      <c r="Q3" s="37" t="s">
        <v>3</v>
      </c>
      <c r="R3" s="37" t="s">
        <v>3</v>
      </c>
      <c r="S3" s="37" t="s">
        <v>3</v>
      </c>
    </row>
    <row r="4" spans="1:21" ht="16.5" customHeight="1">
      <c r="B4" s="18" t="s">
        <v>4</v>
      </c>
      <c r="C4" s="17" t="s">
        <v>5</v>
      </c>
      <c r="D4" s="128" t="s">
        <v>6</v>
      </c>
      <c r="E4" s="18" t="s">
        <v>7</v>
      </c>
      <c r="F4" s="18" t="s">
        <v>8</v>
      </c>
      <c r="G4" s="19" t="s">
        <v>9</v>
      </c>
      <c r="H4" s="30" t="s">
        <v>10</v>
      </c>
      <c r="I4" s="30" t="s">
        <v>11</v>
      </c>
      <c r="J4" s="30" t="s">
        <v>12</v>
      </c>
      <c r="K4" s="30" t="s">
        <v>13</v>
      </c>
      <c r="L4" s="30" t="s">
        <v>14</v>
      </c>
      <c r="M4" s="30" t="s">
        <v>15</v>
      </c>
      <c r="N4" s="30" t="s">
        <v>16</v>
      </c>
      <c r="O4" s="30" t="s">
        <v>17</v>
      </c>
      <c r="P4" s="30" t="s">
        <v>18</v>
      </c>
      <c r="Q4" s="30" t="s">
        <v>19</v>
      </c>
      <c r="R4" s="30" t="s">
        <v>20</v>
      </c>
      <c r="S4" s="30" t="s">
        <v>21</v>
      </c>
      <c r="T4" s="30" t="s">
        <v>3</v>
      </c>
      <c r="U4" s="18" t="s">
        <v>22</v>
      </c>
    </row>
    <row r="5" spans="1:21" ht="33">
      <c r="B5" s="129">
        <v>22</v>
      </c>
      <c r="C5" s="299">
        <v>11</v>
      </c>
      <c r="D5" s="272" t="s">
        <v>23</v>
      </c>
      <c r="E5" s="33">
        <v>380000</v>
      </c>
      <c r="F5" s="33">
        <v>370004</v>
      </c>
      <c r="G5" s="33">
        <f>SUMIFS('2025 FNDR'!$O$5:$O$458,'2025 FNDR'!$B$5:$B$458,'2025 RESUMEN'!$B$5,'2025 FNDR'!$C$5:$C$458,'2025 RESUMEN'!$C$5)</f>
        <v>100000</v>
      </c>
      <c r="H5" s="33">
        <f>SUMIFS('2025 FNDR'!Q$4:Q$470,'2025 FNDR'!$B$4:$B$470,$B$5)</f>
        <v>0</v>
      </c>
      <c r="I5" s="33">
        <f>SUMIFS('2025 FNDR'!R$4:R$470,'2025 FNDR'!$B$4:$B$470,$B$5)</f>
        <v>0</v>
      </c>
      <c r="J5" s="33">
        <f>SUMIFS('2025 FNDR'!S$4:S$470,'2025 FNDR'!$B$4:$B$470,$B$5)</f>
        <v>0</v>
      </c>
      <c r="K5" s="33">
        <f>SUMIFS('2025 FNDR'!T$4:T$470,'2025 FNDR'!$B$4:$B$470,$B$5)</f>
        <v>0</v>
      </c>
      <c r="L5" s="33">
        <f>SUMIFS('2025 FNDR'!U$4:U$470,'2025 FNDR'!$B$4:$B$470,$B$5)</f>
        <v>0</v>
      </c>
      <c r="M5" s="33">
        <f>SUMIFS('2025 FNDR'!V$4:V$470,'2025 FNDR'!$B$4:$B$470,$B$5)</f>
        <v>0</v>
      </c>
      <c r="N5" s="33">
        <f>SUMIFS('2025 FNDR'!W$4:W$470,'2025 FNDR'!$B$4:$B$470,$B$5)</f>
        <v>0</v>
      </c>
      <c r="O5" s="33">
        <f>SUMIFS('2025 FNDR'!X$4:X$470,'2025 FNDR'!$B$4:$B$470,$B$5)</f>
        <v>0</v>
      </c>
      <c r="P5" s="33">
        <f>SUMIFS('2025 FNDR'!Y$4:Y$470,'2025 FNDR'!$B$4:$B$470,$B$5)</f>
        <v>0</v>
      </c>
      <c r="Q5" s="33">
        <f>SUMIFS('2025 FNDR'!Z$4:Z$470,'2025 FNDR'!$B$4:$B$470,$B$5)</f>
        <v>0</v>
      </c>
      <c r="R5" s="33">
        <f>SUMIFS('2025 FNDR'!AA$4:AA$470,'2025 FNDR'!$B$4:$B$470,$B$5)</f>
        <v>0</v>
      </c>
      <c r="S5" s="33">
        <f>SUMIFS('2025 FNDR'!AB$4:AB$470,'2025 FNDR'!$B$4:$B$470,$B$5)</f>
        <v>0</v>
      </c>
      <c r="T5" s="33">
        <f>SUM(H5:S5)</f>
        <v>0</v>
      </c>
      <c r="U5" s="20">
        <f>+F5-T5</f>
        <v>370004</v>
      </c>
    </row>
    <row r="6" spans="1:21" ht="13.5" customHeight="1">
      <c r="B6" s="129">
        <v>24</v>
      </c>
      <c r="C6" s="130"/>
      <c r="D6" s="272" t="s">
        <v>24</v>
      </c>
      <c r="E6" s="33">
        <f>+E7+E8</f>
        <v>22885754</v>
      </c>
      <c r="F6" s="33">
        <f>SUM(F7:F8)</f>
        <v>26333833</v>
      </c>
      <c r="G6" s="33">
        <f>+G7+G8</f>
        <v>14296428</v>
      </c>
      <c r="H6" s="33">
        <f>SUM(H7:H8)</f>
        <v>0</v>
      </c>
      <c r="I6" s="33">
        <f>SUM(I7:I8)</f>
        <v>2532297.3940000003</v>
      </c>
      <c r="J6" s="33">
        <f>SUM(J7:J8)</f>
        <v>1071190.7339999999</v>
      </c>
      <c r="K6" s="33">
        <f t="shared" ref="K6:M6" si="0">SUM(K7:K8)</f>
        <v>765399.82799999998</v>
      </c>
      <c r="L6" s="33">
        <f>SUM(L7:L8)</f>
        <v>565338.728</v>
      </c>
      <c r="M6" s="33">
        <f t="shared" si="0"/>
        <v>1309194.416</v>
      </c>
      <c r="N6" s="33">
        <f t="shared" ref="N6:S6" si="1">SUM(N7:N8)</f>
        <v>971971.37300000014</v>
      </c>
      <c r="O6" s="33">
        <f t="shared" si="1"/>
        <v>0</v>
      </c>
      <c r="P6" s="33">
        <f t="shared" si="1"/>
        <v>0</v>
      </c>
      <c r="Q6" s="33">
        <f t="shared" si="1"/>
        <v>0</v>
      </c>
      <c r="R6" s="33">
        <f t="shared" si="1"/>
        <v>0</v>
      </c>
      <c r="S6" s="33">
        <f t="shared" si="1"/>
        <v>0</v>
      </c>
      <c r="T6" s="33">
        <f>SUM(T7:T8)</f>
        <v>7215392.4730000012</v>
      </c>
      <c r="U6" s="20">
        <f>SUM(U7:U8)</f>
        <v>19118440.526999999</v>
      </c>
    </row>
    <row r="7" spans="1:21" ht="13.5" customHeight="1">
      <c r="B7" s="121"/>
      <c r="C7" s="122" t="s">
        <v>25</v>
      </c>
      <c r="D7" s="273" t="s">
        <v>26</v>
      </c>
      <c r="E7" s="21">
        <v>9877998</v>
      </c>
      <c r="F7" s="21">
        <f>+E7</f>
        <v>9877998</v>
      </c>
      <c r="G7" s="21">
        <f>SUMIFS('2025 FNDR'!$O$5:$O$470,'2025 FNDR'!$B$5:$B$470,'2025 RESUMEN'!$B$6,'2025 FNDR'!$C$5:$C$470,'2025 RESUMEN'!$C$7)</f>
        <v>4672722</v>
      </c>
      <c r="H7" s="32">
        <f>SUMIFS('2025 FNDR'!Q$4:Q$195,'2025 FNDR'!$B$4:$B$195,$B$6,'2025 FNDR'!$C$4:$C$195,$C$7)</f>
        <v>0</v>
      </c>
      <c r="I7" s="32">
        <f>SUMIFS('2025 FNDR'!R$5:R$480,'2025 FNDR'!$B$5:$B$480,$B$6,'2025 FNDR'!$C$5:$C$480,$C$7)</f>
        <v>724661</v>
      </c>
      <c r="J7" s="32">
        <f>SUMIFS('2025 FNDR'!S$5:S$480,'2025 FNDR'!$B$5:$B$480,$B$6,'2025 FNDR'!$C$5:$C$480,$C$7)</f>
        <v>217996.58900000001</v>
      </c>
      <c r="K7" s="32">
        <f>SUMIFS('2025 FNDR'!T$5:T$480,'2025 FNDR'!$B$5:$B$480,$B$6,'2025 FNDR'!$C$5:$C$480,$C$7)</f>
        <v>178510.17600000001</v>
      </c>
      <c r="L7" s="32">
        <f>SUMIFS('2025 FNDR'!U$4:U$480,'2025 FNDR'!$B$4:$B$480,$B$6,'2025 FNDR'!$C$4:$C$480,$C7)</f>
        <v>25649</v>
      </c>
      <c r="M7" s="32">
        <f>SUMIFS('2025 FNDR'!V$4:V$460,'2025 FNDR'!$B$4:$B$460,$B$6,'2025 FNDR'!$C$4:$C$460,$C7)</f>
        <v>498975.60700000002</v>
      </c>
      <c r="N7" s="32">
        <f>SUMIFS('2025 FNDR'!W$4:W$470,'2025 FNDR'!$B$4:$B$470,$B$6,'2025 FNDR'!$C$4:$C$470,$C7)</f>
        <v>280281.09700000001</v>
      </c>
      <c r="O7" s="32">
        <f>SUMIFS('2025 FNDR'!X$4:X$470,'2025 FNDR'!$B$4:$B$470,$B$6,'2025 FNDR'!$C$4:$C$470,$C7)</f>
        <v>0</v>
      </c>
      <c r="P7" s="32">
        <f>SUMIFS('2025 FNDR'!Y$4:Y$470,'2025 FNDR'!$B$4:$B$470,$B$6,'2025 FNDR'!$C$4:$C$470,$C7)</f>
        <v>0</v>
      </c>
      <c r="Q7" s="32">
        <f>SUMIFS('2025 FNDR'!Z$4:Z$470,'2025 FNDR'!$B$4:$B$470,$B$6,'2025 FNDR'!$C$4:$C$470,$C7)</f>
        <v>0</v>
      </c>
      <c r="R7" s="32">
        <f>SUMIFS('2025 FNDR'!AA$4:AA$470,'2025 FNDR'!$B$4:$B$470,$B$6,'2025 FNDR'!$C$4:$C$470,$C7)</f>
        <v>0</v>
      </c>
      <c r="S7" s="32">
        <f>SUMIFS('2025 FNDR'!AB$4:AB$470,'2025 FNDR'!$B$4:$B$470,$B$6,'2025 FNDR'!$C$4:$C$470,$C7)</f>
        <v>0</v>
      </c>
      <c r="T7" s="150">
        <f>SUMIFS(H7:S7,$H$3:$S$3,"EJECUTADO")</f>
        <v>1926073.4690000003</v>
      </c>
      <c r="U7" s="21">
        <f>+F7-T7</f>
        <v>7951924.5309999995</v>
      </c>
    </row>
    <row r="8" spans="1:21" ht="13.5" customHeight="1">
      <c r="B8" s="121"/>
      <c r="C8" s="122" t="s">
        <v>27</v>
      </c>
      <c r="D8" s="273" t="s">
        <v>28</v>
      </c>
      <c r="E8" s="21">
        <v>13007756</v>
      </c>
      <c r="F8" s="21">
        <v>16455835</v>
      </c>
      <c r="G8" s="21">
        <f>SUMIFS('2025 FNDR'!$O$5:$O$470,'2025 FNDR'!$B$5:$B$470,'2025 RESUMEN'!$B$6,'2025 FNDR'!$C$5:$C$470,'2025 RESUMEN'!$C$8)</f>
        <v>9623706</v>
      </c>
      <c r="H8" s="32">
        <f>SUMIFS('2025 FNDR'!Q$4:Q$195,'2025 FNDR'!$B$4:$B$195,$B$6,'2025 FNDR'!$C$4:$C$195,$C$8)</f>
        <v>0</v>
      </c>
      <c r="I8" s="32">
        <f>SUMIFS('2025 FNDR'!R$5:R$480,'2025 FNDR'!$B$5:$B$480,$B$6,'2025 FNDR'!$C$5:$C$480,$C$8)</f>
        <v>1807636.3940000001</v>
      </c>
      <c r="J8" s="32">
        <f>SUMIFS('2025 FNDR'!S$5:S$480,'2025 FNDR'!$B$5:$B$480,$B$6,'2025 FNDR'!$C$5:$C$480,$C$8)</f>
        <v>853194.1449999999</v>
      </c>
      <c r="K8" s="32">
        <f>SUMIFS('2025 FNDR'!T$5:T$480,'2025 FNDR'!$B$5:$B$480,$B$6,'2025 FNDR'!$C$5:$C$480,$C$8)</f>
        <v>586889.652</v>
      </c>
      <c r="L8" s="32">
        <f>SUMIFS('2025 FNDR'!U$4:U$480,'2025 FNDR'!$B$4:$B$480,$B$6,'2025 FNDR'!$C$4:$C$480,$C8)</f>
        <v>539689.728</v>
      </c>
      <c r="M8" s="32">
        <f>SUMIFS('2025 FNDR'!V$4:V$460,'2025 FNDR'!$B$4:$B$460,$B$6,'2025 FNDR'!$C$4:$C$460,$C8)</f>
        <v>810218.80900000001</v>
      </c>
      <c r="N8" s="32">
        <f>SUMIFS('2025 FNDR'!W$4:W$470,'2025 FNDR'!$B$4:$B$470,$B$6,'2025 FNDR'!$C$4:$C$470,$C8)</f>
        <v>691690.27600000007</v>
      </c>
      <c r="O8" s="32">
        <f>SUMIFS('2025 FNDR'!X$4:X$470,'2025 FNDR'!$B$4:$B$470,$B$6,'2025 FNDR'!$C$4:$C$470,$C8)</f>
        <v>0</v>
      </c>
      <c r="P8" s="32">
        <f>SUMIFS('2025 FNDR'!Y$4:Y$470,'2025 FNDR'!$B$4:$B$470,$B$6,'2025 FNDR'!$C$4:$C$470,$C8)</f>
        <v>0</v>
      </c>
      <c r="Q8" s="32">
        <f>SUMIFS('2025 FNDR'!Z$4:Z$470,'2025 FNDR'!$B$4:$B$470,$B$6,'2025 FNDR'!$C$4:$C$470,$C8)</f>
        <v>0</v>
      </c>
      <c r="R8" s="32">
        <f>SUMIFS('2025 FNDR'!AA$4:AA$470,'2025 FNDR'!$B$4:$B$470,$B$6,'2025 FNDR'!$C$4:$C$470,$C8)</f>
        <v>0</v>
      </c>
      <c r="S8" s="32">
        <f>SUMIFS('2025 FNDR'!AB$4:AB$470,'2025 FNDR'!$B$4:$B$470,$B$6,'2025 FNDR'!$C$4:$C$470,$C8)</f>
        <v>0</v>
      </c>
      <c r="T8" s="150">
        <f>SUMIFS(H8:S8,$H$3:$S$3,"EJECUTADO")</f>
        <v>5289319.0040000007</v>
      </c>
      <c r="U8" s="21">
        <f>+F8-T8</f>
        <v>11166515.995999999</v>
      </c>
    </row>
    <row r="9" spans="1:21" ht="13.5" customHeight="1">
      <c r="B9" s="129">
        <v>26</v>
      </c>
      <c r="C9" s="130"/>
      <c r="D9" s="272" t="s">
        <v>29</v>
      </c>
      <c r="E9" s="33"/>
      <c r="F9" s="33">
        <f>F10</f>
        <v>1209996</v>
      </c>
      <c r="G9" s="33">
        <f>+G10</f>
        <v>1209996</v>
      </c>
      <c r="H9" s="33">
        <f>SUM(H10)</f>
        <v>0</v>
      </c>
      <c r="I9" s="33">
        <f t="shared" ref="I9:S9" si="2">SUM(I10)</f>
        <v>0</v>
      </c>
      <c r="J9" s="33">
        <f t="shared" si="2"/>
        <v>0</v>
      </c>
      <c r="K9" s="33">
        <f t="shared" si="2"/>
        <v>0</v>
      </c>
      <c r="L9" s="33">
        <f t="shared" si="2"/>
        <v>9996</v>
      </c>
      <c r="M9" s="33">
        <f t="shared" si="2"/>
        <v>63743.588000000003</v>
      </c>
      <c r="N9" s="33">
        <f t="shared" si="2"/>
        <v>1107647.0020000001</v>
      </c>
      <c r="O9" s="33">
        <f t="shared" si="2"/>
        <v>0</v>
      </c>
      <c r="P9" s="33">
        <f t="shared" si="2"/>
        <v>0</v>
      </c>
      <c r="Q9" s="33">
        <f t="shared" si="2"/>
        <v>0</v>
      </c>
      <c r="R9" s="33">
        <f t="shared" si="2"/>
        <v>0</v>
      </c>
      <c r="S9" s="33">
        <f t="shared" si="2"/>
        <v>0</v>
      </c>
      <c r="T9" s="33">
        <f>+T10</f>
        <v>1181386.5900000001</v>
      </c>
      <c r="U9" s="20">
        <f>+F9-T9</f>
        <v>28609.409999999916</v>
      </c>
    </row>
    <row r="10" spans="1:21" ht="13.5" customHeight="1">
      <c r="B10" s="121"/>
      <c r="C10" s="122" t="s">
        <v>30</v>
      </c>
      <c r="D10" s="273" t="s">
        <v>31</v>
      </c>
      <c r="E10" s="21">
        <v>0</v>
      </c>
      <c r="F10" s="21">
        <f>9996+1200000</f>
        <v>1209996</v>
      </c>
      <c r="G10" s="21">
        <f>SUMIFS('2025 FNDR'!$O$5:$O$470,'2025 FNDR'!$B$5:$B$470,'2025 RESUMEN'!$B$9,'2025 FNDR'!$C$5:$C$470,'2025 RESUMEN'!$C10)</f>
        <v>1209996</v>
      </c>
      <c r="H10" s="32">
        <f>SUMIFS('2025 FNDR'!Q$4:Q$195,'2025 FNDR'!$B$4:$B$195,$B$9,'2025 FNDR'!$C$4:$C$195,$C$10)</f>
        <v>0</v>
      </c>
      <c r="I10" s="32">
        <f>SUMIFS('2025 FNDR'!R$4:R$195,'2025 FNDR'!$B$4:$B$195,$B$9,'2025 FNDR'!$C$4:$C$195,$C$10)</f>
        <v>0</v>
      </c>
      <c r="J10" s="32">
        <f>SUMIFS('2025 FNDR'!S$4:S$195,'2025 FNDR'!$B$4:$B$195,$B$9,'2025 FNDR'!$C$4:$C$195,$C$10)</f>
        <v>0</v>
      </c>
      <c r="K10" s="32">
        <f>SUMIFS('2025 FNDR'!T$4:T$195,'2025 FNDR'!$B$4:$B$195,$B$9,'2025 FNDR'!$C$4:$C$195,$C$10)</f>
        <v>0</v>
      </c>
      <c r="L10" s="32">
        <f>SUMIFS('2025 FNDR'!U$4:U$480,'2025 FNDR'!$B$4:$B$480,$B$9,'2025 FNDR'!$C$4:$C$480,$C$10)</f>
        <v>9996</v>
      </c>
      <c r="M10" s="32">
        <f>SUMIFS('2025 FNDR'!V$4:V$460,'2025 FNDR'!$B$4:$B$460,$B$9,'2025 FNDR'!$C$4:$C$460,$C$10)</f>
        <v>63743.588000000003</v>
      </c>
      <c r="N10" s="32">
        <f>SUMIFS('2025 FNDR'!W$4:W$470,'2025 FNDR'!$B$4:$B$470,$B$9,'2025 FNDR'!$C$4:$C$470,$C$10)</f>
        <v>1107647.0020000001</v>
      </c>
      <c r="O10" s="32">
        <f>SUMIFS('2025 FNDR'!X$4:X$470,'2025 FNDR'!$B$4:$B$470,$B$9,'2025 FNDR'!$C$4:$C$470,$C$10)</f>
        <v>0</v>
      </c>
      <c r="P10" s="32">
        <f>SUMIFS('2025 FNDR'!Y$4:Y$470,'2025 FNDR'!$B$4:$B$470,$B$9,'2025 FNDR'!$C$4:$C$470,$C$10)</f>
        <v>0</v>
      </c>
      <c r="Q10" s="32">
        <f>SUMIFS('2025 FNDR'!Z$4:Z$470,'2025 FNDR'!$B$4:$B$470,$B$9,'2025 FNDR'!$C$4:$C$470,$C$10)</f>
        <v>0</v>
      </c>
      <c r="R10" s="32">
        <f>SUMIFS('2025 FNDR'!AA$4:AA$470,'2025 FNDR'!$B$4:$B$470,$B$9,'2025 FNDR'!$C$4:$C$470,$C$10)</f>
        <v>0</v>
      </c>
      <c r="S10" s="32">
        <f>SUMIFS('2025 FNDR'!AB$4:AB$470,'2025 FNDR'!$B$4:$B$470,$B$9,'2025 FNDR'!$C$4:$C$470,$C$10)</f>
        <v>0</v>
      </c>
      <c r="T10" s="150">
        <f>SUMIFS(H10:S10,$H$3:$S$3,"EJECUTADO")</f>
        <v>1181386.5900000001</v>
      </c>
      <c r="U10" s="21">
        <v>0</v>
      </c>
    </row>
    <row r="11" spans="1:21" ht="13.5" customHeight="1">
      <c r="B11" s="129">
        <v>29</v>
      </c>
      <c r="C11" s="129"/>
      <c r="D11" s="272" t="s">
        <v>32</v>
      </c>
      <c r="E11" s="34">
        <f t="shared" ref="E11:I11" si="3">SUM(E12:E19)</f>
        <v>10000000</v>
      </c>
      <c r="F11" s="34">
        <f>+F14+F16+F18</f>
        <v>12902254</v>
      </c>
      <c r="G11" s="34">
        <f t="shared" ref="G11" si="4">SUM(G12:G19)</f>
        <v>6046244.7139999997</v>
      </c>
      <c r="H11" s="34">
        <f t="shared" si="3"/>
        <v>0</v>
      </c>
      <c r="I11" s="151">
        <f t="shared" si="3"/>
        <v>0</v>
      </c>
      <c r="J11" s="151">
        <f>SUM(J12:J19)</f>
        <v>186247.26</v>
      </c>
      <c r="K11" s="151">
        <f t="shared" ref="K11:M11" si="5">SUM(K12:K19)</f>
        <v>671703.81400000001</v>
      </c>
      <c r="L11" s="151">
        <f t="shared" si="5"/>
        <v>2227955.0729999999</v>
      </c>
      <c r="M11" s="151">
        <f t="shared" si="5"/>
        <v>0</v>
      </c>
      <c r="N11" s="151">
        <f t="shared" ref="N11:S11" si="6">SUM(N12:N19)</f>
        <v>86191.7</v>
      </c>
      <c r="O11" s="151">
        <f t="shared" si="6"/>
        <v>0</v>
      </c>
      <c r="P11" s="151">
        <f t="shared" si="6"/>
        <v>0</v>
      </c>
      <c r="Q11" s="151">
        <f t="shared" si="6"/>
        <v>0</v>
      </c>
      <c r="R11" s="151">
        <f t="shared" si="6"/>
        <v>0</v>
      </c>
      <c r="S11" s="151">
        <f t="shared" si="6"/>
        <v>0</v>
      </c>
      <c r="T11" s="151">
        <f>SUM(T12:T19)</f>
        <v>3172097.8470000001</v>
      </c>
      <c r="U11" s="22">
        <f>SUM(U12:U19)</f>
        <v>9730156.1530000009</v>
      </c>
    </row>
    <row r="12" spans="1:21" ht="13.5" customHeight="1">
      <c r="B12" s="120"/>
      <c r="C12" s="123" t="s">
        <v>25</v>
      </c>
      <c r="D12" s="273" t="s">
        <v>33</v>
      </c>
      <c r="E12" s="23">
        <v>0</v>
      </c>
      <c r="F12" s="23">
        <f>E12</f>
        <v>0</v>
      </c>
      <c r="G12" s="21">
        <f>SUMIFS('2025 FNDR'!$O$5:$O$470,'2025 FNDR'!$B$5:$B$470,'2025 RESUMEN'!$B$11,'2025 FNDR'!$C$5:$C$470,'2025 RESUMEN'!$C12)</f>
        <v>0</v>
      </c>
      <c r="H12" s="32">
        <f>SUMIFS('2025 FNDR'!Q$4:Q$195,'2025 FNDR'!$B$4:$B$195,$B$11,'2025 FNDR'!$C$4:$C$195,$C$12)</f>
        <v>0</v>
      </c>
      <c r="I12" s="32">
        <f>SUMIFS('2025 FNDR'!R$5:R$480,'2025 FNDR'!$B$5:$B$480,$B$11,'2025 FNDR'!$C$5:$C$480,$C12)</f>
        <v>0</v>
      </c>
      <c r="J12" s="32">
        <f>SUMIFS('2025 FNDR'!S$5:S$480,'2025 FNDR'!$B$5:$B$480,$B$11,'2025 FNDR'!$C$5:$C$480,$C12)</f>
        <v>0</v>
      </c>
      <c r="K12" s="32">
        <f>SUMIFS('2025 FNDR'!T$4:T$195,'2025 FNDR'!$B$4:$B$195,$B$11,'2025 FNDR'!$C$4:$C$195,$C$12)</f>
        <v>0</v>
      </c>
      <c r="L12" s="32">
        <f>SUMIFS('2025 FNDR'!U$5:U$480,'2025 FNDR'!$B$5:$B$480,$B$11,'2025 FNDR'!$C$5:$C$480,$C12)</f>
        <v>0</v>
      </c>
      <c r="M12" s="32">
        <f>SUMIFS('2025 FNDR'!V$4:V$460,'2025 FNDR'!$B$4:$B$460,$B$11,'2025 FNDR'!$C$4:$C$460,$C12)</f>
        <v>0</v>
      </c>
      <c r="N12" s="32">
        <f>SUMIFS('2025 FNDR'!W$4:W$470,'2025 FNDR'!$B$4:$B$470,$B$11,'2025 FNDR'!$C$4:$C$470,$C12)</f>
        <v>0</v>
      </c>
      <c r="O12" s="32">
        <f>SUMIFS('2025 FNDR'!X$4:X$470,'2025 FNDR'!$B$4:$B$470,$B$11,'2025 FNDR'!$C$4:$C$470,$C12)</f>
        <v>0</v>
      </c>
      <c r="P12" s="32">
        <f>SUMIFS('2025 FNDR'!Y$4:Y$470,'2025 FNDR'!$B$4:$B$470,$B$11,'2025 FNDR'!$C$4:$C$470,$C12)</f>
        <v>0</v>
      </c>
      <c r="Q12" s="32">
        <f>SUMIFS('2025 FNDR'!Z$4:Z$470,'2025 FNDR'!$B$4:$B$470,$B$11,'2025 FNDR'!$C$4:$C$470,$C12)</f>
        <v>0</v>
      </c>
      <c r="R12" s="32">
        <f>SUMIFS('2025 FNDR'!AA$4:AA$470,'2025 FNDR'!$B$4:$B$470,$B$11,'2025 FNDR'!$C$4:$C$470,$C12)</f>
        <v>0</v>
      </c>
      <c r="S12" s="32">
        <f>SUMIFS('2025 FNDR'!AB$4:AB$470,'2025 FNDR'!$B$4:$B$470,$B$11,'2025 FNDR'!$C$4:$C$470,$C12)</f>
        <v>0</v>
      </c>
      <c r="T12" s="150">
        <f t="shared" ref="T12:T19" si="7">SUMIFS(H12:S12,$H$3:$S$3,"EJECUTADO")</f>
        <v>0</v>
      </c>
      <c r="U12" s="21">
        <f t="shared" ref="U12:U19" si="8">+F12-T12</f>
        <v>0</v>
      </c>
    </row>
    <row r="13" spans="1:21" ht="13.5" customHeight="1">
      <c r="B13" s="120"/>
      <c r="C13" s="123" t="s">
        <v>30</v>
      </c>
      <c r="D13" s="274" t="s">
        <v>34</v>
      </c>
      <c r="E13" s="23">
        <v>0</v>
      </c>
      <c r="F13" s="23">
        <f t="shared" ref="F13" si="9">E13</f>
        <v>0</v>
      </c>
      <c r="G13" s="21">
        <f>SUMIFS('2025 FNDR'!$O$5:$O$470,'2025 FNDR'!$B$5:$B$470,'2025 RESUMEN'!$B$11,'2025 FNDR'!$C$5:$C$470,'2025 RESUMEN'!$C13)</f>
        <v>0</v>
      </c>
      <c r="H13" s="32">
        <f>SUMIFS('2025 FNDR'!Q$4:Q$195,'2025 FNDR'!$B$4:$B$195,$B$11,'2025 FNDR'!$C$4:$C$195,$C$13)</f>
        <v>0</v>
      </c>
      <c r="I13" s="32">
        <f>SUMIFS('2025 FNDR'!R$5:R$480,'2025 FNDR'!$B$5:$B$480,$B$11,'2025 FNDR'!$C$5:$C$480,$C13)</f>
        <v>0</v>
      </c>
      <c r="J13" s="32">
        <f>SUMIFS('2025 FNDR'!S$5:S$480,'2025 FNDR'!$B$5:$B$480,$B$11,'2025 FNDR'!$C$5:$C$480,$C13)</f>
        <v>0</v>
      </c>
      <c r="K13" s="32">
        <f>SUMIFS('2025 FNDR'!T$4:T$195,'2025 FNDR'!$B$4:$B$195,$B$11,'2025 FNDR'!$C$4:$C$195,$C$13)</f>
        <v>0</v>
      </c>
      <c r="L13" s="32">
        <f>SUMIFS('2025 FNDR'!U$5:U$480,'2025 FNDR'!$B$5:$B$480,$B$11,'2025 FNDR'!$C$5:$C$480,$C13)</f>
        <v>0</v>
      </c>
      <c r="M13" s="32">
        <f>SUMIFS('2025 FNDR'!V$4:V$460,'2025 FNDR'!$B$4:$B$460,$B$11,'2025 FNDR'!$C$4:$C$460,$C13)</f>
        <v>0</v>
      </c>
      <c r="N13" s="32">
        <f>SUMIFS('2025 FNDR'!W$4:W$470,'2025 FNDR'!$B$4:$B$470,$B$11,'2025 FNDR'!$C$4:$C$470,$C13)</f>
        <v>0</v>
      </c>
      <c r="O13" s="32">
        <f>SUMIFS('2025 FNDR'!X$4:X$470,'2025 FNDR'!$B$4:$B$470,$B$11,'2025 FNDR'!$C$4:$C$470,$C13)</f>
        <v>0</v>
      </c>
      <c r="P13" s="32">
        <f>SUMIFS('2025 FNDR'!Y$4:Y$470,'2025 FNDR'!$B$4:$B$470,$B$11,'2025 FNDR'!$C$4:$C$470,$C13)</f>
        <v>0</v>
      </c>
      <c r="Q13" s="32">
        <f>SUMIFS('2025 FNDR'!Z$4:Z$470,'2025 FNDR'!$B$4:$B$470,$B$11,'2025 FNDR'!$C$4:$C$470,$C13)</f>
        <v>0</v>
      </c>
      <c r="R13" s="32">
        <f>SUMIFS('2025 FNDR'!AA$4:AA$470,'2025 FNDR'!$B$4:$B$470,$B$11,'2025 FNDR'!$C$4:$C$470,$C13)</f>
        <v>0</v>
      </c>
      <c r="S13" s="32">
        <f>SUMIFS('2025 FNDR'!AB$4:AB$470,'2025 FNDR'!$B$4:$B$470,$B$11,'2025 FNDR'!$C$4:$C$470,$C13)</f>
        <v>0</v>
      </c>
      <c r="T13" s="150">
        <f t="shared" si="7"/>
        <v>0</v>
      </c>
      <c r="U13" s="21">
        <f t="shared" si="8"/>
        <v>0</v>
      </c>
    </row>
    <row r="14" spans="1:21" ht="13.5" customHeight="1">
      <c r="B14" s="120"/>
      <c r="C14" s="123" t="s">
        <v>27</v>
      </c>
      <c r="D14" s="274" t="s">
        <v>35</v>
      </c>
      <c r="E14" s="23">
        <v>8000000</v>
      </c>
      <c r="F14" s="23">
        <f>11602254-1200000</f>
        <v>10402254</v>
      </c>
      <c r="G14" s="21">
        <f>SUMIFS('2025 FNDR'!$O$5:$O$470,'2025 FNDR'!$B$5:$B$470,'2025 RESUMEN'!$B$11,'2025 FNDR'!$C$5:$C$470,'2025 RESUMEN'!$C14)</f>
        <v>4700336.7139999997</v>
      </c>
      <c r="H14" s="32">
        <f>SUMIFS('2025 FNDR'!Q$4:Q$195,'2025 FNDR'!$B$4:$B$195,$B$11,'2025 FNDR'!$C$4:$C$195,$C$14)</f>
        <v>0</v>
      </c>
      <c r="I14" s="32">
        <f>SUMIFS('2025 FNDR'!R$5:R$480,'2025 FNDR'!$B$5:$B$480,$B$11,'2025 FNDR'!$C$5:$C$480,$C14)</f>
        <v>0</v>
      </c>
      <c r="J14" s="32">
        <f>SUMIFS('2025 FNDR'!S$5:S$480,'2025 FNDR'!$B$5:$B$480,$B$11,'2025 FNDR'!$C$5:$C$480,$C14)</f>
        <v>186247.26</v>
      </c>
      <c r="K14" s="32">
        <f>SUMIFS('2025 FNDR'!T$5:T$480,'2025 FNDR'!$B$5:$B$480,$B$11,'2025 FNDR'!$C$5:$C$480,$C14)</f>
        <v>671703.81400000001</v>
      </c>
      <c r="L14" s="32">
        <f>SUMIFS('2025 FNDR'!U$5:U$480,'2025 FNDR'!$B$5:$B$480,$B$11,'2025 FNDR'!$C$5:$C$480,$C14)</f>
        <v>2227955.0729999999</v>
      </c>
      <c r="M14" s="32">
        <f>SUMIFS('2025 FNDR'!V$4:V$460,'2025 FNDR'!$B$4:$B$460,$B$11,'2025 FNDR'!$C$4:$C$460,$C14)</f>
        <v>0</v>
      </c>
      <c r="N14" s="32">
        <f>SUMIFS('2025 FNDR'!W$4:W$470,'2025 FNDR'!$B$4:$B$470,$B$11,'2025 FNDR'!$C$4:$C$470,$C14)</f>
        <v>0</v>
      </c>
      <c r="O14" s="32">
        <f>SUMIFS('2025 FNDR'!X$4:X$470,'2025 FNDR'!$B$4:$B$470,$B$11,'2025 FNDR'!$C$4:$C$470,$C14)</f>
        <v>0</v>
      </c>
      <c r="P14" s="32">
        <f>SUMIFS('2025 FNDR'!Y$4:Y$470,'2025 FNDR'!$B$4:$B$470,$B$11,'2025 FNDR'!$C$4:$C$470,$C14)</f>
        <v>0</v>
      </c>
      <c r="Q14" s="32">
        <f>SUMIFS('2025 FNDR'!Z$4:Z$470,'2025 FNDR'!$B$4:$B$470,$B$11,'2025 FNDR'!$C$4:$C$470,$C14)</f>
        <v>0</v>
      </c>
      <c r="R14" s="32">
        <f>SUMIFS('2025 FNDR'!AA$4:AA$470,'2025 FNDR'!$B$4:$B$470,$B$11,'2025 FNDR'!$C$4:$C$470,$C14)</f>
        <v>0</v>
      </c>
      <c r="S14" s="32">
        <f>SUMIFS('2025 FNDR'!AB$4:AB$470,'2025 FNDR'!$B$4:$B$470,$B$11,'2025 FNDR'!$C$4:$C$470,$C14)</f>
        <v>0</v>
      </c>
      <c r="T14" s="150">
        <f t="shared" si="7"/>
        <v>3085906.1469999999</v>
      </c>
      <c r="U14" s="21">
        <f t="shared" si="8"/>
        <v>7316347.8530000001</v>
      </c>
    </row>
    <row r="15" spans="1:21" ht="13.5" customHeight="1">
      <c r="B15" s="121"/>
      <c r="C15" s="123" t="s">
        <v>36</v>
      </c>
      <c r="D15" s="273" t="s">
        <v>37</v>
      </c>
      <c r="E15" s="23">
        <v>0</v>
      </c>
      <c r="F15" s="23">
        <v>0</v>
      </c>
      <c r="G15" s="21">
        <f>SUMIFS('2025 FNDR'!$O$5:$O$470,'2025 FNDR'!$B$5:$B$470,'2025 RESUMEN'!$B$11,'2025 FNDR'!$C$5:$C$470,'2025 RESUMEN'!$C15)</f>
        <v>0</v>
      </c>
      <c r="H15" s="32">
        <f>SUMIFS('2025 FNDR'!Q$4:Q$195,'2025 FNDR'!$B$4:$B$195,$B$11,'2025 FNDR'!$C$4:$C$195,$C$15)</f>
        <v>0</v>
      </c>
      <c r="I15" s="32">
        <f>SUMIFS('2025 FNDR'!R$5:R$480,'2025 FNDR'!$B$5:$B$480,$B$11,'2025 FNDR'!$C$5:$C$480,$C15)</f>
        <v>0</v>
      </c>
      <c r="J15" s="32">
        <f>SUMIFS('2025 FNDR'!S$5:S$480,'2025 FNDR'!$B$5:$B$480,$B$11,'2025 FNDR'!$C$5:$C$480,$C15)</f>
        <v>0</v>
      </c>
      <c r="K15" s="32">
        <f>SUMIFS('2025 FNDR'!T$4:T$195,'2025 FNDR'!$B$4:$B$195,$B$11,'2025 FNDR'!$C$4:$C$195,$C$15)</f>
        <v>0</v>
      </c>
      <c r="L15" s="32">
        <f>SUMIFS('2025 FNDR'!U$5:U$480,'2025 FNDR'!$B$5:$B$480,$B$11,'2025 FNDR'!$C$5:$C$480,$C15)</f>
        <v>0</v>
      </c>
      <c r="M15" s="32">
        <f>SUMIFS('2025 FNDR'!V$4:V$460,'2025 FNDR'!$B$4:$B$460,$B$11,'2025 FNDR'!$C$4:$C$460,$C15)</f>
        <v>0</v>
      </c>
      <c r="N15" s="32">
        <f>SUMIFS('2025 FNDR'!W$4:W$470,'2025 FNDR'!$B$4:$B$470,$B$11,'2025 FNDR'!$C$4:$C$470,$C15)</f>
        <v>0</v>
      </c>
      <c r="O15" s="32">
        <f>SUMIFS('2025 FNDR'!X$4:X$470,'2025 FNDR'!$B$4:$B$470,$B$11,'2025 FNDR'!$C$4:$C$470,$C15)</f>
        <v>0</v>
      </c>
      <c r="P15" s="32">
        <f>SUMIFS('2025 FNDR'!Y$4:Y$470,'2025 FNDR'!$B$4:$B$470,$B$11,'2025 FNDR'!$C$4:$C$470,$C15)</f>
        <v>0</v>
      </c>
      <c r="Q15" s="32">
        <f>SUMIFS('2025 FNDR'!Z$4:Z$470,'2025 FNDR'!$B$4:$B$470,$B$11,'2025 FNDR'!$C$4:$C$470,$C15)</f>
        <v>0</v>
      </c>
      <c r="R15" s="32">
        <f>SUMIFS('2025 FNDR'!AA$4:AA$470,'2025 FNDR'!$B$4:$B$470,$B$11,'2025 FNDR'!$C$4:$C$470,$C15)</f>
        <v>0</v>
      </c>
      <c r="S15" s="32">
        <f>SUMIFS('2025 FNDR'!AB$4:AB$470,'2025 FNDR'!$B$4:$B$470,$B$11,'2025 FNDR'!$C$4:$C$470,$C15)</f>
        <v>0</v>
      </c>
      <c r="T15" s="150">
        <f t="shared" si="7"/>
        <v>0</v>
      </c>
      <c r="U15" s="21">
        <f t="shared" si="8"/>
        <v>0</v>
      </c>
    </row>
    <row r="16" spans="1:21" ht="13.5" customHeight="1">
      <c r="B16" s="121"/>
      <c r="C16" s="123" t="s">
        <v>38</v>
      </c>
      <c r="D16" s="273" t="s">
        <v>39</v>
      </c>
      <c r="E16" s="23">
        <v>2000000</v>
      </c>
      <c r="F16" s="23">
        <v>2500000</v>
      </c>
      <c r="G16" s="21">
        <f>SUMIFS('2025 FNDR'!$O$5:$O$470,'2025 FNDR'!$B$5:$B$470,'2025 RESUMEN'!$B$11,'2025 FNDR'!$C$5:$C$470,'2025 RESUMEN'!$C16)</f>
        <v>1345908</v>
      </c>
      <c r="H16" s="32">
        <f>SUMIFS('2025 FNDR'!Q$4:Q$195,'2025 FNDR'!$B$4:$B$195,$B$11,'2025 FNDR'!$C$4:$C$195,$C$16)</f>
        <v>0</v>
      </c>
      <c r="I16" s="32">
        <f>SUMIFS('2025 FNDR'!R$5:R$480,'2025 FNDR'!$B$5:$B$480,$B$11,'2025 FNDR'!$C$5:$C$480,$C16)</f>
        <v>0</v>
      </c>
      <c r="J16" s="32">
        <f>SUMIFS('2025 FNDR'!S$5:S$480,'2025 FNDR'!$B$5:$B$480,$B$11,'2025 FNDR'!$C$5:$C$480,$C16)</f>
        <v>0</v>
      </c>
      <c r="K16" s="32">
        <f>SUMIFS('2025 FNDR'!T$4:T$195,'2025 FNDR'!$B$4:$B$195,$B$11,'2025 FNDR'!$C$4:$C$195,$C$16)</f>
        <v>0</v>
      </c>
      <c r="L16" s="32">
        <f>SUMIFS('2025 FNDR'!U$5:U$480,'2025 FNDR'!$B$5:$B$480,$B$11,'2025 FNDR'!$C$5:$C$480,$C16)</f>
        <v>0</v>
      </c>
      <c r="M16" s="32">
        <f>SUMIFS('2025 FNDR'!V$4:V$460,'2025 FNDR'!$B$4:$B$460,$B$11,'2025 FNDR'!$C$4:$C$460,$C16)</f>
        <v>0</v>
      </c>
      <c r="N16" s="32">
        <f>SUMIFS('2025 FNDR'!W$4:W$470,'2025 FNDR'!$B$4:$B$470,$B$11,'2025 FNDR'!$C$4:$C$470,$C16)</f>
        <v>86191.7</v>
      </c>
      <c r="O16" s="32">
        <f>SUMIFS('2025 FNDR'!X$4:X$470,'2025 FNDR'!$B$4:$B$470,$B$11,'2025 FNDR'!$C$4:$C$470,$C16)</f>
        <v>0</v>
      </c>
      <c r="P16" s="32">
        <f>SUMIFS('2025 FNDR'!Y$4:Y$470,'2025 FNDR'!$B$4:$B$470,$B$11,'2025 FNDR'!$C$4:$C$470,$C16)</f>
        <v>0</v>
      </c>
      <c r="Q16" s="32">
        <f>SUMIFS('2025 FNDR'!Z$4:Z$470,'2025 FNDR'!$B$4:$B$470,$B$11,'2025 FNDR'!$C$4:$C$470,$C16)</f>
        <v>0</v>
      </c>
      <c r="R16" s="32">
        <f>SUMIFS('2025 FNDR'!AA$4:AA$470,'2025 FNDR'!$B$4:$B$470,$B$11,'2025 FNDR'!$C$4:$C$470,$C16)</f>
        <v>0</v>
      </c>
      <c r="S16" s="32">
        <f>SUMIFS('2025 FNDR'!AB$4:AB$470,'2025 FNDR'!$B$4:$B$470,$B$11,'2025 FNDR'!$C$4:$C$470,$C16)</f>
        <v>0</v>
      </c>
      <c r="T16" s="150">
        <f t="shared" si="7"/>
        <v>86191.7</v>
      </c>
      <c r="U16" s="21">
        <f t="shared" si="8"/>
        <v>2413808.2999999998</v>
      </c>
    </row>
    <row r="17" spans="2:21" ht="13.5" customHeight="1">
      <c r="B17" s="121"/>
      <c r="C17" s="123" t="s">
        <v>40</v>
      </c>
      <c r="D17" s="273" t="s">
        <v>41</v>
      </c>
      <c r="E17" s="142" t="s">
        <v>42</v>
      </c>
      <c r="F17" s="23" t="str">
        <f t="shared" ref="F17:F19" si="10">+E17</f>
        <v>0</v>
      </c>
      <c r="G17" s="21">
        <f>SUMIFS('2025 FNDR'!$O$5:$O$470,'2025 FNDR'!$B$5:$B$470,'2025 RESUMEN'!$B$11,'2025 FNDR'!$C$5:$C$470,'2025 RESUMEN'!$C17)</f>
        <v>0</v>
      </c>
      <c r="H17" s="32">
        <f>SUMIFS('2025 FNDR'!Q$4:Q$195,'2025 FNDR'!$B$4:$B$195,$B$11,'2025 FNDR'!$C$4:$C$195,$C$17)</f>
        <v>0</v>
      </c>
      <c r="I17" s="32">
        <f>SUMIFS('2025 FNDR'!R$5:R$480,'2025 FNDR'!$B$5:$B$480,$B$11,'2025 FNDR'!$C$5:$C$480,$C17)</f>
        <v>0</v>
      </c>
      <c r="J17" s="32">
        <f>SUMIFS('2025 FNDR'!S$5:S$480,'2025 FNDR'!$B$5:$B$480,$B$11,'2025 FNDR'!$C$5:$C$480,$C17)</f>
        <v>0</v>
      </c>
      <c r="K17" s="32">
        <f>SUMIFS('2025 FNDR'!T$4:T$195,'2025 FNDR'!$B$4:$B$195,$B$11,'2025 FNDR'!$C$4:$C$195,$C$17)</f>
        <v>0</v>
      </c>
      <c r="L17" s="32">
        <f>SUMIFS('2025 FNDR'!U$5:U$480,'2025 FNDR'!$B$5:$B$480,$B$11,'2025 FNDR'!$C$5:$C$480,$C17)</f>
        <v>0</v>
      </c>
      <c r="M17" s="32">
        <f>SUMIFS('2025 FNDR'!V$4:V$460,'2025 FNDR'!$B$4:$B$460,$B$11,'2025 FNDR'!$C$4:$C$460,$C17)</f>
        <v>0</v>
      </c>
      <c r="N17" s="32">
        <f>SUMIFS('2025 FNDR'!W$4:W$470,'2025 FNDR'!$B$4:$B$470,$B$11,'2025 FNDR'!$C$4:$C$470,$C17)</f>
        <v>0</v>
      </c>
      <c r="O17" s="32">
        <f>SUMIFS('2025 FNDR'!X$4:X$470,'2025 FNDR'!$B$4:$B$470,$B$11,'2025 FNDR'!$C$4:$C$470,$C17)</f>
        <v>0</v>
      </c>
      <c r="P17" s="32">
        <f>SUMIFS('2025 FNDR'!Y$4:Y$470,'2025 FNDR'!$B$4:$B$470,$B$11,'2025 FNDR'!$C$4:$C$470,$C17)</f>
        <v>0</v>
      </c>
      <c r="Q17" s="32">
        <f>SUMIFS('2025 FNDR'!Z$4:Z$470,'2025 FNDR'!$B$4:$B$470,$B$11,'2025 FNDR'!$C$4:$C$470,$C17)</f>
        <v>0</v>
      </c>
      <c r="R17" s="32">
        <f>SUMIFS('2025 FNDR'!AA$4:AA$470,'2025 FNDR'!$B$4:$B$470,$B$11,'2025 FNDR'!$C$4:$C$470,$C17)</f>
        <v>0</v>
      </c>
      <c r="S17" s="32">
        <f>SUMIFS('2025 FNDR'!AB$4:AB$470,'2025 FNDR'!$B$4:$B$470,$B$11,'2025 FNDR'!$C$4:$C$470,$C17)</f>
        <v>0</v>
      </c>
      <c r="T17" s="150">
        <f t="shared" si="7"/>
        <v>0</v>
      </c>
      <c r="U17" s="21">
        <f t="shared" si="8"/>
        <v>0</v>
      </c>
    </row>
    <row r="18" spans="2:21" ht="13.5" customHeight="1">
      <c r="B18" s="121"/>
      <c r="C18" s="123" t="s">
        <v>43</v>
      </c>
      <c r="D18" s="273" t="s">
        <v>44</v>
      </c>
      <c r="E18" s="23">
        <v>0</v>
      </c>
      <c r="F18" s="23">
        <f t="shared" si="10"/>
        <v>0</v>
      </c>
      <c r="G18" s="21">
        <f>SUMIFS('2025 FNDR'!$O$5:$O$470,'2025 FNDR'!$B$5:$B$470,'2025 RESUMEN'!$B$11,'2025 FNDR'!$C$5:$C$470,'2025 RESUMEN'!$C18)</f>
        <v>0</v>
      </c>
      <c r="H18" s="32">
        <f>SUMIFS('2025 FNDR'!Q$4:Q$195,'2025 FNDR'!$B$4:$B$195,$B$11,'2025 FNDR'!$C$4:$C$195,$C$18)</f>
        <v>0</v>
      </c>
      <c r="I18" s="32">
        <f>SUMIFS('2025 FNDR'!R$5:R$480,'2025 FNDR'!$B$5:$B$480,$B$11,'2025 FNDR'!$C$5:$C$480,$C18)</f>
        <v>0</v>
      </c>
      <c r="J18" s="32">
        <f>SUMIFS('2025 FNDR'!S$5:S$480,'2025 FNDR'!$B$5:$B$480,$B$11,'2025 FNDR'!$C$5:$C$480,$C18)</f>
        <v>0</v>
      </c>
      <c r="K18" s="32">
        <f>SUMIFS('2025 FNDR'!T$4:T$195,'2025 FNDR'!$B$4:$B$195,$B$11,'2025 FNDR'!$C$4:$C$195,$C$18)</f>
        <v>0</v>
      </c>
      <c r="L18" s="32">
        <f>SUMIFS('2025 FNDR'!U$5:U$480,'2025 FNDR'!$B$5:$B$480,$B$11,'2025 FNDR'!$C$5:$C$480,$C18)</f>
        <v>0</v>
      </c>
      <c r="M18" s="32">
        <f>SUMIFS('2025 FNDR'!V$4:V$460,'2025 FNDR'!$B$4:$B$460,$B$11,'2025 FNDR'!$C$4:$C$460,$C18)</f>
        <v>0</v>
      </c>
      <c r="N18" s="32">
        <f>SUMIFS('2025 FNDR'!W$4:W$470,'2025 FNDR'!$B$4:$B$470,$B$11,'2025 FNDR'!$C$4:$C$470,$C18)</f>
        <v>0</v>
      </c>
      <c r="O18" s="32">
        <f>SUMIFS('2025 FNDR'!X$4:X$470,'2025 FNDR'!$B$4:$B$470,$B$11,'2025 FNDR'!$C$4:$C$470,$C18)</f>
        <v>0</v>
      </c>
      <c r="P18" s="32">
        <f>SUMIFS('2025 FNDR'!Y$4:Y$470,'2025 FNDR'!$B$4:$B$470,$B$11,'2025 FNDR'!$C$4:$C$470,$C18)</f>
        <v>0</v>
      </c>
      <c r="Q18" s="32">
        <f>SUMIFS('2025 FNDR'!Z$4:Z$470,'2025 FNDR'!$B$4:$B$470,$B$11,'2025 FNDR'!$C$4:$C$470,$C18)</f>
        <v>0</v>
      </c>
      <c r="R18" s="32">
        <f>SUMIFS('2025 FNDR'!AA$4:AA$470,'2025 FNDR'!$B$4:$B$470,$B$11,'2025 FNDR'!$C$4:$C$470,$C18)</f>
        <v>0</v>
      </c>
      <c r="S18" s="32">
        <f>SUMIFS('2025 FNDR'!AB$4:AB$470,'2025 FNDR'!$B$4:$B$470,$B$11,'2025 FNDR'!$C$4:$C$470,$C18)</f>
        <v>0</v>
      </c>
      <c r="T18" s="150">
        <f t="shared" si="7"/>
        <v>0</v>
      </c>
      <c r="U18" s="21">
        <f t="shared" si="8"/>
        <v>0</v>
      </c>
    </row>
    <row r="19" spans="2:21" ht="13.5" customHeight="1">
      <c r="B19" s="121"/>
      <c r="C19" s="123" t="s">
        <v>45</v>
      </c>
      <c r="D19" s="273" t="s">
        <v>46</v>
      </c>
      <c r="E19" s="23">
        <v>0</v>
      </c>
      <c r="F19" s="23">
        <f t="shared" si="10"/>
        <v>0</v>
      </c>
      <c r="G19" s="21">
        <f>SUMIFS('2025 FNDR'!$O$5:$O$470,'2025 FNDR'!$B$5:$B$470,'2025 RESUMEN'!$B$11,'2025 FNDR'!$C$5:$C$470,'2025 RESUMEN'!$C19)</f>
        <v>0</v>
      </c>
      <c r="H19" s="32">
        <f>SUMIFS('2025 FNDR'!Q$4:Q$195,'2025 FNDR'!$B$4:$B$195,$B$11,'2025 FNDR'!$C$4:$C$195,$C$19)</f>
        <v>0</v>
      </c>
      <c r="I19" s="32">
        <f>SUMIFS('2025 FNDR'!R$5:R$480,'2025 FNDR'!$B$5:$B$480,$B$11,'2025 FNDR'!$C$5:$C$480,$C19)</f>
        <v>0</v>
      </c>
      <c r="J19" s="32">
        <f>SUMIFS('2025 FNDR'!S$5:S$480,'2025 FNDR'!$B$5:$B$480,$B$11,'2025 FNDR'!$C$5:$C$480,$C19)</f>
        <v>0</v>
      </c>
      <c r="K19" s="32">
        <f>SUMIFS('2025 FNDR'!T$4:T$195,'2025 FNDR'!$B$4:$B$195,$B$11,'2025 FNDR'!$C$4:$C$195,$C$19)</f>
        <v>0</v>
      </c>
      <c r="L19" s="32">
        <f>SUMIFS('2025 FNDR'!U$5:U$480,'2025 FNDR'!$B$5:$B$480,$B$11,'2025 FNDR'!$C$5:$C$480,$C19)</f>
        <v>0</v>
      </c>
      <c r="M19" s="32">
        <f>SUMIFS('2025 FNDR'!V$4:V$460,'2025 FNDR'!$B$4:$B$460,$B$11,'2025 FNDR'!$C$4:$C$460,$C19)</f>
        <v>0</v>
      </c>
      <c r="N19" s="32">
        <f>SUMIFS('2025 FNDR'!W$4:W$470,'2025 FNDR'!$B$4:$B$470,$B$11,'2025 FNDR'!$C$4:$C$470,$C19)</f>
        <v>0</v>
      </c>
      <c r="O19" s="32">
        <f>SUMIFS('2025 FNDR'!X$4:X$470,'2025 FNDR'!$B$4:$B$470,$B$11,'2025 FNDR'!$C$4:$C$470,$C19)</f>
        <v>0</v>
      </c>
      <c r="P19" s="32">
        <f>SUMIFS('2025 FNDR'!Y$4:Y$470,'2025 FNDR'!$B$4:$B$470,$B$11,'2025 FNDR'!$C$4:$C$470,$C19)</f>
        <v>0</v>
      </c>
      <c r="Q19" s="32">
        <f>SUMIFS('2025 FNDR'!Z$4:Z$470,'2025 FNDR'!$B$4:$B$470,$B$11,'2025 FNDR'!$C$4:$C$470,$C19)</f>
        <v>0</v>
      </c>
      <c r="R19" s="32">
        <f>SUMIFS('2025 FNDR'!AA$4:AA$470,'2025 FNDR'!$B$4:$B$470,$B$11,'2025 FNDR'!$C$4:$C$470,$C19)</f>
        <v>0</v>
      </c>
      <c r="S19" s="32">
        <f>SUMIFS('2025 FNDR'!AB$4:AB$470,'2025 FNDR'!$B$4:$B$470,$B$11,'2025 FNDR'!$C$4:$C$470,$C19)</f>
        <v>0</v>
      </c>
      <c r="T19" s="150">
        <f t="shared" si="7"/>
        <v>0</v>
      </c>
      <c r="U19" s="21">
        <f t="shared" si="8"/>
        <v>0</v>
      </c>
    </row>
    <row r="20" spans="2:21" ht="13.5" customHeight="1">
      <c r="B20" s="129">
        <v>31</v>
      </c>
      <c r="C20" s="129"/>
      <c r="D20" s="272" t="s">
        <v>47</v>
      </c>
      <c r="E20" s="33">
        <f>SUM(E21:E23)</f>
        <v>28678682</v>
      </c>
      <c r="F20" s="33">
        <f>SUM(F21:F23)</f>
        <v>23457797</v>
      </c>
      <c r="G20" s="33">
        <f>SUM(G21:G23)</f>
        <v>19841082</v>
      </c>
      <c r="H20" s="33">
        <f>SUM(H21:H23)</f>
        <v>0</v>
      </c>
      <c r="I20" s="33">
        <f t="shared" ref="I20:M20" si="11">SUM(I21:I23)</f>
        <v>0</v>
      </c>
      <c r="J20" s="33">
        <f t="shared" si="11"/>
        <v>1567396.095</v>
      </c>
      <c r="K20" s="33">
        <f t="shared" si="11"/>
        <v>441930.89200000005</v>
      </c>
      <c r="L20" s="33">
        <f t="shared" si="11"/>
        <v>461615.16799999995</v>
      </c>
      <c r="M20" s="33">
        <f t="shared" si="11"/>
        <v>752774.26399999997</v>
      </c>
      <c r="N20" s="33">
        <f t="shared" ref="N20:S20" si="12">SUM(N21:N23)</f>
        <v>510468.61800000002</v>
      </c>
      <c r="O20" s="33">
        <f t="shared" si="12"/>
        <v>0</v>
      </c>
      <c r="P20" s="33">
        <f t="shared" si="12"/>
        <v>0</v>
      </c>
      <c r="Q20" s="33">
        <f t="shared" si="12"/>
        <v>0</v>
      </c>
      <c r="R20" s="33">
        <f t="shared" si="12"/>
        <v>0</v>
      </c>
      <c r="S20" s="33">
        <f t="shared" si="12"/>
        <v>0</v>
      </c>
      <c r="T20" s="33">
        <f>SUM(T21:T23)</f>
        <v>3734185.0369999995</v>
      </c>
      <c r="U20" s="20">
        <f>SUM(U21:U23)</f>
        <v>19723611.963</v>
      </c>
    </row>
    <row r="21" spans="2:21" ht="13.5" customHeight="1">
      <c r="B21" s="120"/>
      <c r="C21" s="123" t="s">
        <v>25</v>
      </c>
      <c r="D21" s="273" t="s">
        <v>48</v>
      </c>
      <c r="E21" s="21">
        <v>650000</v>
      </c>
      <c r="F21" s="21">
        <f>+E21</f>
        <v>650000</v>
      </c>
      <c r="G21" s="21">
        <f>SUMIFS('2025 FNDR'!$O$5:$O$470,'2025 FNDR'!$B$5:$B$470,'2025 RESUMEN'!$B$20,'2025 FNDR'!$C$5:$C$470,'2025 RESUMEN'!$C21)</f>
        <v>75000</v>
      </c>
      <c r="H21" s="32">
        <f>SUMIFS('2025 FNDR'!Q$4:Q$195,'2025 FNDR'!$B$4:$B$195,$B$20,'2025 FNDR'!$C$4:$C$195,$C$21)</f>
        <v>0</v>
      </c>
      <c r="I21" s="32">
        <f>SUMIFS('2025 FNDR'!R$5:R$480,'2025 FNDR'!$B$5:$B$480,$B$20,'2025 FNDR'!$C$5:$C$480,$C21)</f>
        <v>0</v>
      </c>
      <c r="J21" s="32">
        <f>SUMIFS('2025 FNDR'!S$5:S$480,'2025 FNDR'!$B$5:$B$480,$B$20,'2025 FNDR'!$C$5:$C$480,$C21)</f>
        <v>0</v>
      </c>
      <c r="K21" s="32">
        <f>SUMIFS('2025 FNDR'!T$5:T$480,'2025 FNDR'!$B$5:$B$480,$B$20,'2025 FNDR'!$C$5:$C$480,$C21)</f>
        <v>0</v>
      </c>
      <c r="L21" s="32">
        <f>SUMIFS('2025 FNDR'!U$5:U$480,'2025 FNDR'!$B$5:$B$480,$B$20,'2025 FNDR'!$C$5:$C$480,$C21)</f>
        <v>29770</v>
      </c>
      <c r="M21" s="32">
        <f>SUMIFS('2025 FNDR'!V$4:V$460,'2025 FNDR'!$B$4:$B$460,$B$20,'2025 FNDR'!$C$4:$C$460,$C21)</f>
        <v>19500</v>
      </c>
      <c r="N21" s="32">
        <f>SUMIFS('2025 FNDR'!W$4:W$470,'2025 FNDR'!$B$4:$B$470,$B$20,'2025 FNDR'!$C$4:$C$470,$C21)</f>
        <v>0</v>
      </c>
      <c r="O21" s="32">
        <f>SUMIFS('2025 FNDR'!X$4:X$470,'2025 FNDR'!$B$4:$B$470,$B$20,'2025 FNDR'!$C$4:$C$470,$C21)</f>
        <v>0</v>
      </c>
      <c r="P21" s="32">
        <f>SUMIFS('2025 FNDR'!Y$4:Y$470,'2025 FNDR'!$B$4:$B$470,$B$20,'2025 FNDR'!$C$4:$C$470,$C21)</f>
        <v>0</v>
      </c>
      <c r="Q21" s="32">
        <f>SUMIFS('2025 FNDR'!Z$4:Z$470,'2025 FNDR'!$B$4:$B$470,$B$20,'2025 FNDR'!$C$4:$C$470,$C21)</f>
        <v>0</v>
      </c>
      <c r="R21" s="32">
        <f>SUMIFS('2025 FNDR'!AA$4:AA$470,'2025 FNDR'!$B$4:$B$470,$B$20,'2025 FNDR'!$C$4:$C$470,$C21)</f>
        <v>0</v>
      </c>
      <c r="S21" s="32">
        <f>SUMIFS('2025 FNDR'!AB$4:AB$470,'2025 FNDR'!$B$4:$B$470,$B$20,'2025 FNDR'!$C$4:$C$470,$C21)</f>
        <v>0</v>
      </c>
      <c r="T21" s="150">
        <f>SUMIFS(H21:S21,$H$3:$S$3,"EJECUTADO")</f>
        <v>49270</v>
      </c>
      <c r="U21" s="21">
        <f>+F21-T21</f>
        <v>600730</v>
      </c>
    </row>
    <row r="22" spans="2:21" ht="13.5" customHeight="1">
      <c r="B22" s="120"/>
      <c r="C22" s="123" t="s">
        <v>30</v>
      </c>
      <c r="D22" s="274" t="s">
        <v>49</v>
      </c>
      <c r="E22" s="21">
        <v>28028682</v>
      </c>
      <c r="F22" s="21">
        <f>27718702-4910905</f>
        <v>22807797</v>
      </c>
      <c r="G22" s="21">
        <f>SUMIFS('2025 FNDR'!$O$5:$O$470,'2025 FNDR'!$B$5:$B$470,'2025 RESUMEN'!$B$20,'2025 FNDR'!$C$5:$C$470,'2025 RESUMEN'!$C22)</f>
        <v>19766082</v>
      </c>
      <c r="H22" s="32">
        <f>SUMIFS('2025 FNDR'!Q$4:Q$195,'2025 FNDR'!$B$4:$B$195,$B$20,'2025 FNDR'!$C$4:$C$195,$C$22)</f>
        <v>0</v>
      </c>
      <c r="I22" s="32">
        <f>SUMIFS('2025 FNDR'!R$5:R$480,'2025 FNDR'!$B$5:$B$480,$B$20,'2025 FNDR'!$C$5:$C$480,$C22)</f>
        <v>0</v>
      </c>
      <c r="J22" s="32">
        <f>SUMIFS('2025 FNDR'!S$5:S$480,'2025 FNDR'!$B$5:$B$480,$B$20,'2025 FNDR'!$C$5:$C$480,$C22)</f>
        <v>1567396.095</v>
      </c>
      <c r="K22" s="32">
        <f>SUMIFS('2025 FNDR'!T$5:T$480,'2025 FNDR'!$B$5:$B$480,$B$20,'2025 FNDR'!$C$5:$C$480,$C22)</f>
        <v>441930.89200000005</v>
      </c>
      <c r="L22" s="32">
        <f>SUMIFS('2025 FNDR'!U$5:U$480,'2025 FNDR'!$B$5:$B$480,$B$20,'2025 FNDR'!$C$5:$C$480,$C22)</f>
        <v>431845.16799999995</v>
      </c>
      <c r="M22" s="32">
        <f>SUMIFS('2025 FNDR'!V$4:V$460,'2025 FNDR'!$B$4:$B$460,$B$20,'2025 FNDR'!$C$4:$C$460,$C22)</f>
        <v>733274.26399999997</v>
      </c>
      <c r="N22" s="32">
        <f>SUMIFS('2025 FNDR'!W$4:W$470,'2025 FNDR'!$B$4:$B$470,$B$20,'2025 FNDR'!$C$4:$C$470,$C22)</f>
        <v>510468.61800000002</v>
      </c>
      <c r="O22" s="32">
        <f>SUMIFS('2025 FNDR'!X$4:X$470,'2025 FNDR'!$B$4:$B$470,$B$20,'2025 FNDR'!$C$4:$C$470,$C22)</f>
        <v>0</v>
      </c>
      <c r="P22" s="32">
        <f>SUMIFS('2025 FNDR'!Y$4:Y$470,'2025 FNDR'!$B$4:$B$470,$B$20,'2025 FNDR'!$C$4:$C$470,$C22)</f>
        <v>0</v>
      </c>
      <c r="Q22" s="32">
        <f>SUMIFS('2025 FNDR'!Z$4:Z$470,'2025 FNDR'!$B$4:$B$470,$B$20,'2025 FNDR'!$C$4:$C$470,$C22)</f>
        <v>0</v>
      </c>
      <c r="R22" s="32">
        <f>SUMIFS('2025 FNDR'!AA$4:AA$470,'2025 FNDR'!$B$4:$B$470,$B$20,'2025 FNDR'!$C$4:$C$470,$C22)</f>
        <v>0</v>
      </c>
      <c r="S22" s="32">
        <f>SUMIFS('2025 FNDR'!AB$4:AB$470,'2025 FNDR'!$B$4:$B$470,$B$20,'2025 FNDR'!$C$4:$C$470,$C22)</f>
        <v>0</v>
      </c>
      <c r="T22" s="150">
        <f>SUMIFS(H22:S22,$H$3:$S$3,"EJECUTADO")</f>
        <v>3684915.0369999995</v>
      </c>
      <c r="U22" s="21">
        <f>+F22-T22</f>
        <v>19122881.963</v>
      </c>
    </row>
    <row r="23" spans="2:21" ht="13.5" customHeight="1">
      <c r="B23" s="120"/>
      <c r="C23" s="123" t="s">
        <v>27</v>
      </c>
      <c r="D23" s="274" t="s">
        <v>50</v>
      </c>
      <c r="E23" s="21">
        <v>0</v>
      </c>
      <c r="F23" s="21">
        <v>0</v>
      </c>
      <c r="G23" s="21">
        <f>SUMIFS('2025 FNDR'!$O$5:$O$470,'2025 FNDR'!$B$5:$B$470,'2025 RESUMEN'!$B$20,'2025 FNDR'!$C$5:$C$470,'2025 RESUMEN'!$C23)</f>
        <v>0</v>
      </c>
      <c r="H23" s="32">
        <f>SUMIFS('2025 FNDR'!Q$4:Q$195,'2025 FNDR'!$B$4:$B$195,$B$20,'2025 FNDR'!$C$4:$C$195,$C$23)</f>
        <v>0</v>
      </c>
      <c r="I23" s="32">
        <f>SUMIFS('2025 FNDR'!R$5:R$480,'2025 FNDR'!$B$5:$B$480,$B$20,'2025 FNDR'!$C$5:$C$480,$C23)</f>
        <v>0</v>
      </c>
      <c r="J23" s="32">
        <f>SUMIFS('2025 FNDR'!S$5:S$480,'2025 FNDR'!$B$5:$B$480,$B$20,'2025 FNDR'!$C$5:$C$480,$C23)</f>
        <v>0</v>
      </c>
      <c r="K23" s="32">
        <f>SUMIFS('2025 FNDR'!T$5:T$480,'2025 FNDR'!$B$5:$B$480,$B$20,'2025 FNDR'!$C$5:$C$480,$C23)</f>
        <v>0</v>
      </c>
      <c r="L23" s="32">
        <f>SUMIFS('2025 FNDR'!U$5:U$480,'2025 FNDR'!$B$5:$B$480,$B$20,'2025 FNDR'!$C$5:$C$480,$C23)</f>
        <v>0</v>
      </c>
      <c r="M23" s="32">
        <f>SUMIFS('2025 FNDR'!V$4:V$460,'2025 FNDR'!$B$4:$B$460,$B$20,'2025 FNDR'!$C$4:$C$460,$C23)</f>
        <v>0</v>
      </c>
      <c r="N23" s="32">
        <f>SUMIFS('2025 FNDR'!W$4:W$470,'2025 FNDR'!$B$4:$B$470,$B$20,'2025 FNDR'!$C$4:$C$470,$C23)</f>
        <v>0</v>
      </c>
      <c r="O23" s="32">
        <f>SUMIFS('2025 FNDR'!X$4:X$470,'2025 FNDR'!$B$4:$B$470,$B$20,'2025 FNDR'!$C$4:$C$470,$C23)</f>
        <v>0</v>
      </c>
      <c r="P23" s="32">
        <f>SUMIFS('2025 FNDR'!Y$4:Y$470,'2025 FNDR'!$B$4:$B$470,$B$20,'2025 FNDR'!$C$4:$C$470,$C23)</f>
        <v>0</v>
      </c>
      <c r="Q23" s="32">
        <f>SUMIFS('2025 FNDR'!Z$4:Z$470,'2025 FNDR'!$B$4:$B$470,$B$20,'2025 FNDR'!$C$4:$C$470,$C23)</f>
        <v>0</v>
      </c>
      <c r="R23" s="32">
        <f>SUMIFS('2025 FNDR'!AA$4:AA$470,'2025 FNDR'!$B$4:$B$470,$B$20,'2025 FNDR'!$C$4:$C$470,$C23)</f>
        <v>0</v>
      </c>
      <c r="S23" s="32">
        <f>SUMIFS('2025 FNDR'!AB$4:AB$470,'2025 FNDR'!$B$4:$B$470,$B$20,'2025 FNDR'!$C$4:$C$470,$C23)</f>
        <v>0</v>
      </c>
      <c r="T23" s="150">
        <f>SUMIFS(H23:S23,$H$3:$S$3,"EJECUTADO")</f>
        <v>0</v>
      </c>
      <c r="U23" s="21">
        <f>+F23-T23</f>
        <v>0</v>
      </c>
    </row>
    <row r="24" spans="2:21" ht="13.5" customHeight="1">
      <c r="B24" s="129">
        <v>32</v>
      </c>
      <c r="C24" s="131"/>
      <c r="D24" s="272" t="s">
        <v>51</v>
      </c>
      <c r="E24" s="33">
        <f t="shared" ref="E24:N24" si="13">SUM(E25:E26)</f>
        <v>0</v>
      </c>
      <c r="F24" s="33">
        <f t="shared" si="13"/>
        <v>0</v>
      </c>
      <c r="G24" s="33">
        <f t="shared" si="13"/>
        <v>0</v>
      </c>
      <c r="H24" s="33">
        <f t="shared" si="13"/>
        <v>0</v>
      </c>
      <c r="I24" s="33">
        <f t="shared" si="13"/>
        <v>0</v>
      </c>
      <c r="J24" s="33">
        <f t="shared" si="13"/>
        <v>0</v>
      </c>
      <c r="K24" s="33">
        <f t="shared" si="13"/>
        <v>0</v>
      </c>
      <c r="L24" s="33">
        <f t="shared" si="13"/>
        <v>0</v>
      </c>
      <c r="M24" s="33">
        <f t="shared" si="13"/>
        <v>0</v>
      </c>
      <c r="N24" s="33">
        <f t="shared" si="13"/>
        <v>0</v>
      </c>
      <c r="O24" s="33">
        <f t="shared" ref="O24:S24" si="14">SUM(O25:O26)</f>
        <v>0</v>
      </c>
      <c r="P24" s="33">
        <f t="shared" si="14"/>
        <v>0</v>
      </c>
      <c r="Q24" s="33">
        <f t="shared" si="14"/>
        <v>0</v>
      </c>
      <c r="R24" s="33">
        <f t="shared" si="14"/>
        <v>0</v>
      </c>
      <c r="S24" s="33">
        <f t="shared" si="14"/>
        <v>0</v>
      </c>
      <c r="T24" s="33">
        <f>SUM(T25:T26)</f>
        <v>0</v>
      </c>
      <c r="U24" s="20">
        <f>SUM(U25:U26)</f>
        <v>0</v>
      </c>
    </row>
    <row r="25" spans="2:21" ht="13.5" customHeight="1">
      <c r="B25" s="120"/>
      <c r="C25" s="123" t="s">
        <v>40</v>
      </c>
      <c r="D25" s="274" t="s">
        <v>51</v>
      </c>
      <c r="E25" s="21">
        <v>0</v>
      </c>
      <c r="F25" s="21">
        <v>0</v>
      </c>
      <c r="G25" s="21"/>
      <c r="H25" s="32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f>SUMIFS(H25:S25,$H$3:$S$3,"EJECUTADO")</f>
        <v>0</v>
      </c>
      <c r="U25" s="21">
        <f>+F25-T25</f>
        <v>0</v>
      </c>
    </row>
    <row r="26" spans="2:21" ht="13.5" customHeight="1">
      <c r="B26" s="120"/>
      <c r="C26" s="123"/>
      <c r="D26" s="274" t="s">
        <v>52</v>
      </c>
      <c r="E26" s="21">
        <v>0</v>
      </c>
      <c r="F26" s="21">
        <f>SUM(E26:E26)</f>
        <v>0</v>
      </c>
      <c r="G26" s="21">
        <v>0</v>
      </c>
      <c r="H26" s="32">
        <v>0</v>
      </c>
      <c r="I26" s="150">
        <v>0</v>
      </c>
      <c r="J26" s="150">
        <v>0</v>
      </c>
      <c r="K26" s="150">
        <v>0</v>
      </c>
      <c r="L26" s="150">
        <v>0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f>SUMIFS(H26:S26,$H$3:$S$3,"EJECUTADO")</f>
        <v>0</v>
      </c>
      <c r="U26" s="21">
        <f>+F26-T26</f>
        <v>0</v>
      </c>
    </row>
    <row r="27" spans="2:21" ht="13.5" customHeight="1">
      <c r="B27" s="129">
        <v>33</v>
      </c>
      <c r="C27" s="131"/>
      <c r="D27" s="272" t="s">
        <v>53</v>
      </c>
      <c r="E27" s="35">
        <f>E29+E28</f>
        <v>36273659</v>
      </c>
      <c r="F27" s="35">
        <f>SUM(F28:F29)</f>
        <v>33135580</v>
      </c>
      <c r="G27" s="35">
        <f>G28+G29</f>
        <v>28284648</v>
      </c>
      <c r="H27" s="35">
        <f t="shared" ref="H27:N27" si="15">SUM(H28:H29)</f>
        <v>0</v>
      </c>
      <c r="I27" s="33">
        <f t="shared" si="15"/>
        <v>384347.42200000002</v>
      </c>
      <c r="J27" s="33">
        <f t="shared" si="15"/>
        <v>744746.81400000001</v>
      </c>
      <c r="K27" s="33">
        <f t="shared" si="15"/>
        <v>819448.26799999981</v>
      </c>
      <c r="L27" s="33">
        <f t="shared" si="15"/>
        <v>1068051.2340000002</v>
      </c>
      <c r="M27" s="33">
        <f t="shared" si="15"/>
        <v>835548.40899999999</v>
      </c>
      <c r="N27" s="33">
        <f t="shared" si="15"/>
        <v>1067530.3739999998</v>
      </c>
      <c r="O27" s="33">
        <f t="shared" ref="O27:S27" si="16">SUM(O28:O29)</f>
        <v>0</v>
      </c>
      <c r="P27" s="33">
        <f t="shared" si="16"/>
        <v>0</v>
      </c>
      <c r="Q27" s="33">
        <f t="shared" si="16"/>
        <v>0</v>
      </c>
      <c r="R27" s="33">
        <f t="shared" si="16"/>
        <v>0</v>
      </c>
      <c r="S27" s="33">
        <f t="shared" si="16"/>
        <v>0</v>
      </c>
      <c r="T27" s="33">
        <f>+T29+T28</f>
        <v>4919672.5209999997</v>
      </c>
      <c r="U27" s="20">
        <f>+U29+U28</f>
        <v>28215907.478999998</v>
      </c>
    </row>
    <row r="28" spans="2:21" ht="13.5" customHeight="1">
      <c r="B28" s="120"/>
      <c r="C28" s="123" t="s">
        <v>25</v>
      </c>
      <c r="D28" s="274" t="s">
        <v>26</v>
      </c>
      <c r="E28" s="21">
        <v>1640662</v>
      </c>
      <c r="F28" s="21">
        <f>+E28</f>
        <v>1640662</v>
      </c>
      <c r="G28" s="21">
        <f>SUMIFS('2025 FNDR'!$O$5:$O$470,'2025 FNDR'!$B$5:$B$470,'2025 RESUMEN'!$B$27,'2025 FNDR'!$C$5:$C$470,'2025 RESUMEN'!$C28)</f>
        <v>1640662</v>
      </c>
      <c r="H28" s="32">
        <f>SUMIFS('2025 FNDR'!Q$4:Q$195,'2025 FNDR'!$B$4:$B$195,$B$27,'2025 FNDR'!$C$4:$C$195,$C$28)</f>
        <v>0</v>
      </c>
      <c r="I28" s="32">
        <f>SUMIFS('2025 FNDR'!R$5:R$480,'2025 FNDR'!$B$5:$B$480,$B$27,'2025 FNDR'!$C$5:$C$480,$C$28)</f>
        <v>0</v>
      </c>
      <c r="J28" s="32">
        <f>SUMIFS('2025 FNDR'!S$5:S$480,'2025 FNDR'!$B$5:$B$480,$B$27,'2025 FNDR'!$C$5:$C$480,$C28)</f>
        <v>0</v>
      </c>
      <c r="K28" s="32">
        <f>SUMIFS('2025 FNDR'!T$5:T$480,'2025 FNDR'!$B$5:$B$480,$B$27,'2025 FNDR'!$C$5:$C$480,$C28)</f>
        <v>0</v>
      </c>
      <c r="L28" s="32">
        <f>SUMIFS('2025 FNDR'!U$4:U$347,'2025 FNDR'!$B$4:$B$347,$B$27,'2025 FNDR'!$C$4:$C$347,$C28)</f>
        <v>6958.0569999999998</v>
      </c>
      <c r="M28" s="32">
        <f>SUMIFS('2025 FNDR'!V$4:V$460,'2025 FNDR'!$B$4:$B$460,$B$27,'2025 FNDR'!$C$4:$C$460,$C28)</f>
        <v>0</v>
      </c>
      <c r="N28" s="32">
        <f>SUMIFS('2025 FNDR'!W$4:W$470,'2025 FNDR'!$B$4:$B$470,$B$27,'2025 FNDR'!$C$4:$C$470,$C28)</f>
        <v>27000</v>
      </c>
      <c r="O28" s="32">
        <f>SUMIFS('2025 FNDR'!X$4:X$470,'2025 FNDR'!$B$4:$B$470,$B$27,'2025 FNDR'!$C$4:$C$470,$C28)</f>
        <v>0</v>
      </c>
      <c r="P28" s="32">
        <f>SUMIFS('2025 FNDR'!Y$4:Y$470,'2025 FNDR'!$B$4:$B$470,$B$27,'2025 FNDR'!$C$4:$C$470,$C28)</f>
        <v>0</v>
      </c>
      <c r="Q28" s="32">
        <f>SUMIFS('2025 FNDR'!Z$4:Z$470,'2025 FNDR'!$B$4:$B$470,$B$27,'2025 FNDR'!$C$4:$C$470,$C28)</f>
        <v>0</v>
      </c>
      <c r="R28" s="32">
        <f>SUMIFS('2025 FNDR'!AA$4:AA$470,'2025 FNDR'!$B$4:$B$470,$B$27,'2025 FNDR'!$C$4:$C$470,$C28)</f>
        <v>0</v>
      </c>
      <c r="S28" s="32">
        <f>SUMIFS('2025 FNDR'!AB$4:AB$470,'2025 FNDR'!$B$4:$B$470,$B$27,'2025 FNDR'!$C$4:$C$470,$C28)</f>
        <v>0</v>
      </c>
      <c r="T28" s="150">
        <f>SUMIFS(H28:S28,$H$3:$S$3,"EJECUTADO")</f>
        <v>33958.057000000001</v>
      </c>
      <c r="U28" s="21">
        <f>+F28-T28</f>
        <v>1606703.943</v>
      </c>
    </row>
    <row r="29" spans="2:21" ht="13.5" customHeight="1">
      <c r="B29" s="120"/>
      <c r="C29" s="123" t="s">
        <v>27</v>
      </c>
      <c r="D29" s="274" t="s">
        <v>54</v>
      </c>
      <c r="E29" s="21">
        <v>34632997</v>
      </c>
      <c r="F29" s="21">
        <v>31494918</v>
      </c>
      <c r="G29" s="21">
        <f>SUMIFS('2025 FNDR'!$O$5:$O$470,'2025 FNDR'!$B$5:$B$470,'2025 RESUMEN'!$B$27,'2025 FNDR'!$C$5:$C$470,'2025 RESUMEN'!$C29)</f>
        <v>26643986</v>
      </c>
      <c r="H29" s="32">
        <f>SUMIFS('2025 FNDR'!Q$4:Q$195,'2025 FNDR'!$B$4:$B$195,$B$27,'2025 FNDR'!$C$4:$C$195,$C$29)</f>
        <v>0</v>
      </c>
      <c r="I29" s="32">
        <f>SUMIFS('2025 FNDR'!R$5:R$480,'2025 FNDR'!$B$5:$B$480,$B$27,'2025 FNDR'!$C$5:$C$480,$C$29)</f>
        <v>384347.42200000002</v>
      </c>
      <c r="J29" s="32">
        <f>SUMIFS('2025 FNDR'!S$5:S$480,'2025 FNDR'!$B$5:$B$480,$B$27,'2025 FNDR'!$C$5:$C$480,$C29)</f>
        <v>744746.81400000001</v>
      </c>
      <c r="K29" s="32">
        <f>SUMIFS('2025 FNDR'!T$5:T$480,'2025 FNDR'!$B$5:$B$480,$B$27,'2025 FNDR'!$C$5:$C$480,$C29)</f>
        <v>819448.26799999981</v>
      </c>
      <c r="L29" s="32">
        <f>SUMIFS('2025 FNDR'!U$5:U$480,'2025 FNDR'!$B$5:$B$480,$B$27,'2025 FNDR'!$C$5:$C$480,$C29)</f>
        <v>1061093.1770000001</v>
      </c>
      <c r="M29" s="32">
        <f>SUMIFS('2025 FNDR'!V$4:V$460,'2025 FNDR'!$B$4:$B$460,$B$27,'2025 FNDR'!$C$4:$C$460,$C29)</f>
        <v>835548.40899999999</v>
      </c>
      <c r="N29" s="32">
        <f>SUMIFS('2025 FNDR'!W$4:W$470,'2025 FNDR'!$B$4:$B$470,$B$27,'2025 FNDR'!$C$4:$C$470,$C29)</f>
        <v>1040530.374</v>
      </c>
      <c r="O29" s="32">
        <f>SUMIFS('2025 FNDR'!X$4:X$470,'2025 FNDR'!$B$4:$B$470,$B$27,'2025 FNDR'!$C$4:$C$470,$C29)</f>
        <v>0</v>
      </c>
      <c r="P29" s="32">
        <f>SUMIFS('2025 FNDR'!Y$4:Y$470,'2025 FNDR'!$B$4:$B$470,$B$27,'2025 FNDR'!$C$4:$C$470,$C29)</f>
        <v>0</v>
      </c>
      <c r="Q29" s="32">
        <f>SUMIFS('2025 FNDR'!Z$4:Z$470,'2025 FNDR'!$B$4:$B$470,$B$27,'2025 FNDR'!$C$4:$C$470,$C29)</f>
        <v>0</v>
      </c>
      <c r="R29" s="32">
        <f>SUMIFS('2025 FNDR'!AA$4:AA$470,'2025 FNDR'!$B$4:$B$470,$B$27,'2025 FNDR'!$C$4:$C$470,$C29)</f>
        <v>0</v>
      </c>
      <c r="S29" s="32">
        <f>SUMIFS('2025 FNDR'!AB$4:AB$470,'2025 FNDR'!$B$4:$B$470,$B$27,'2025 FNDR'!$C$4:$C$470,$C29)</f>
        <v>0</v>
      </c>
      <c r="T29" s="150">
        <f>SUMIFS(H29:S29,$H$3:$S$3,"EJECUTADO")</f>
        <v>4885714.4639999997</v>
      </c>
      <c r="U29" s="21">
        <f>+F29-T29</f>
        <v>26609203.535999998</v>
      </c>
    </row>
    <row r="30" spans="2:21" ht="13.5" customHeight="1">
      <c r="B30" s="129">
        <v>34</v>
      </c>
      <c r="C30" s="131"/>
      <c r="D30" s="272" t="s">
        <v>55</v>
      </c>
      <c r="E30" s="35">
        <f>+E31</f>
        <v>0</v>
      </c>
      <c r="F30" s="35">
        <f>+F31</f>
        <v>2782890</v>
      </c>
      <c r="G30" s="35">
        <f>+G31</f>
        <v>2782890</v>
      </c>
      <c r="H30" s="35">
        <f>+H31</f>
        <v>2782889.503</v>
      </c>
      <c r="I30" s="35">
        <f>+I31</f>
        <v>0</v>
      </c>
      <c r="J30" s="35">
        <f t="shared" ref="J30:M30" si="17">+J31</f>
        <v>0</v>
      </c>
      <c r="K30" s="35">
        <f t="shared" si="17"/>
        <v>0</v>
      </c>
      <c r="L30" s="35">
        <f t="shared" si="17"/>
        <v>0</v>
      </c>
      <c r="M30" s="35">
        <f t="shared" si="17"/>
        <v>0</v>
      </c>
      <c r="N30" s="35">
        <f>+N31</f>
        <v>0</v>
      </c>
      <c r="O30" s="35">
        <f t="shared" ref="O30:S30" si="18">+O31</f>
        <v>0</v>
      </c>
      <c r="P30" s="35">
        <f t="shared" si="18"/>
        <v>0</v>
      </c>
      <c r="Q30" s="35">
        <f t="shared" si="18"/>
        <v>0</v>
      </c>
      <c r="R30" s="35">
        <f t="shared" si="18"/>
        <v>0</v>
      </c>
      <c r="S30" s="35">
        <f t="shared" si="18"/>
        <v>0</v>
      </c>
      <c r="T30" s="33">
        <f>SUMIFS(H30:S30,$H$3:$S$3,"EJECUTADO")</f>
        <v>2782889.503</v>
      </c>
      <c r="U30" s="20">
        <f>+F30-T30</f>
        <v>0.49699999997392297</v>
      </c>
    </row>
    <row r="31" spans="2:21" ht="15.75" customHeight="1">
      <c r="B31" s="120"/>
      <c r="C31" s="123" t="s">
        <v>43</v>
      </c>
      <c r="D31" s="274" t="s">
        <v>56</v>
      </c>
      <c r="E31" s="21">
        <v>0</v>
      </c>
      <c r="F31" s="21">
        <v>2782890</v>
      </c>
      <c r="G31" s="21">
        <f>+F31</f>
        <v>2782890</v>
      </c>
      <c r="H31" s="32">
        <f>SUMIFS('2025 FNDR'!Q$5:Q$480,'2025 FNDR'!$B$5:$B$480,$B$30,'2025 FNDR'!$C$5:$C$480,$C$31)</f>
        <v>2782889.503</v>
      </c>
      <c r="I31" s="150">
        <f>SUMIFS('2025 FNDR'!R$4:R$195,'2025 FNDR'!$B$4:$B$195,$B$30,'2025 FNDR'!$C$4:$C$195,$C$31)</f>
        <v>0</v>
      </c>
      <c r="J31" s="150">
        <f>SUMIFS('2025 FNDR'!S$4:S$195,'2025 FNDR'!$B$4:$B$195,$B$30,'2025 FNDR'!$C$4:$C$195,$C$31)</f>
        <v>0</v>
      </c>
      <c r="K31" s="150">
        <f>SUMIFS('2025 FNDR'!T$4:T$195,'2025 FNDR'!$B$4:$B$195,$B$30,'2025 FNDR'!$C$4:$C$195,$C$31)</f>
        <v>0</v>
      </c>
      <c r="L31" s="150">
        <f>SUMIFS('2025 FNDR'!U$4:U$195,'2025 FNDR'!$B$4:$B$195,$B$30,'2025 FNDR'!$C$4:$C$195,$C$31)</f>
        <v>0</v>
      </c>
      <c r="M31" s="150">
        <f>SUMIFS('2025 FNDR'!V$4:V$460,'2025 FNDR'!$B$4:$B$460,$B$30,'2025 FNDR'!$C$4:$C$460,$C$31)</f>
        <v>0</v>
      </c>
      <c r="N31" s="150">
        <f>SUMIFS('2025 FNDR'!W$4:W$470,'2025 FNDR'!$B$4:$B$470,$B$30,'2025 FNDR'!$C$4:$C$470,$C$31)</f>
        <v>0</v>
      </c>
      <c r="O31" s="150">
        <f>SUMIFS('2025 FNDR'!X$4:X$470,'2025 FNDR'!$B$4:$B$470,$B$30,'2025 FNDR'!$C$4:$C$470,$C$31)</f>
        <v>0</v>
      </c>
      <c r="P31" s="150">
        <f>SUMIFS('2025 FNDR'!Y$4:Y$470,'2025 FNDR'!$B$4:$B$470,$B$30,'2025 FNDR'!$C$4:$C$470,$C$31)</f>
        <v>0</v>
      </c>
      <c r="Q31" s="150">
        <f>SUMIFS('2025 FNDR'!Z$4:Z$470,'2025 FNDR'!$B$4:$B$470,$B$30,'2025 FNDR'!$C$4:$C$470,$C$31)</f>
        <v>0</v>
      </c>
      <c r="R31" s="150">
        <f>SUMIFS('2025 FNDR'!AA$4:AA$470,'2025 FNDR'!$B$4:$B$470,$B$30,'2025 FNDR'!$C$4:$C$470,$C$31)</f>
        <v>0</v>
      </c>
      <c r="S31" s="150">
        <f>SUMIFS('2025 FNDR'!AB$4:AB$470,'2025 FNDR'!$B$4:$B$470,$B$30,'2025 FNDR'!$C$4:$C$470,$C$31)</f>
        <v>0</v>
      </c>
      <c r="T31" s="152">
        <f>SUMIFS(H31:S31,$H$3:$S$3,"EJECUTADO")</f>
        <v>2782889.503</v>
      </c>
      <c r="U31" s="20"/>
    </row>
    <row r="32" spans="2:21" ht="13.5" customHeight="1">
      <c r="B32" s="129">
        <v>35</v>
      </c>
      <c r="C32" s="131"/>
      <c r="D32" s="272" t="s">
        <v>57</v>
      </c>
      <c r="E32" s="35">
        <v>0</v>
      </c>
      <c r="F32" s="35">
        <f>+E32</f>
        <v>0</v>
      </c>
      <c r="G32" s="35"/>
      <c r="H32" s="35">
        <v>0</v>
      </c>
      <c r="I32" s="33">
        <v>0</v>
      </c>
      <c r="J32" s="33">
        <v>0</v>
      </c>
      <c r="K32" s="33"/>
      <c r="L32" s="33"/>
      <c r="M32" s="33"/>
      <c r="N32" s="33"/>
      <c r="O32" s="240"/>
      <c r="P32" s="33"/>
      <c r="Q32" s="33"/>
      <c r="R32" s="33"/>
      <c r="S32" s="33"/>
      <c r="T32" s="33">
        <f>SUMIFS(H32:S32,$H$3:$S$3,"EJECUTADO")</f>
        <v>0</v>
      </c>
      <c r="U32" s="20">
        <f>+F32-T32</f>
        <v>0</v>
      </c>
    </row>
    <row r="33" spans="2:21" ht="13.5" customHeight="1">
      <c r="B33" s="124"/>
      <c r="C33" s="125"/>
      <c r="D33" s="45" t="s">
        <v>58</v>
      </c>
      <c r="E33" s="36">
        <f>+E20+E24+E9+E27+E32+E30+E6+E11+E5</f>
        <v>98218095</v>
      </c>
      <c r="F33" s="36">
        <f>+F20+F24+F9+F27+F32+F30+F6+F11+F5</f>
        <v>100192354</v>
      </c>
      <c r="G33" s="36">
        <f>+G20+FG1528+G27+G32+G30+G6+G11+G5+G9+G24</f>
        <v>72561288.714000002</v>
      </c>
      <c r="H33" s="36">
        <f t="shared" ref="H33:S33" si="19">+H20+H24+H9+H27+H32+H30+H6+H11+H5</f>
        <v>2782889.503</v>
      </c>
      <c r="I33" s="36">
        <f t="shared" si="19"/>
        <v>2916644.8160000006</v>
      </c>
      <c r="J33" s="36">
        <f t="shared" si="19"/>
        <v>3569580.9029999999</v>
      </c>
      <c r="K33" s="36">
        <f t="shared" si="19"/>
        <v>2698482.8020000001</v>
      </c>
      <c r="L33" s="36">
        <f t="shared" si="19"/>
        <v>4332956.2029999997</v>
      </c>
      <c r="M33" s="36">
        <f t="shared" si="19"/>
        <v>2961260.6770000001</v>
      </c>
      <c r="N33" s="36">
        <f t="shared" si="19"/>
        <v>3743809.0670000003</v>
      </c>
      <c r="O33" s="36">
        <f t="shared" si="19"/>
        <v>0</v>
      </c>
      <c r="P33" s="36">
        <f t="shared" si="19"/>
        <v>0</v>
      </c>
      <c r="Q33" s="36">
        <f t="shared" si="19"/>
        <v>0</v>
      </c>
      <c r="R33" s="36">
        <f t="shared" si="19"/>
        <v>0</v>
      </c>
      <c r="S33" s="36">
        <f t="shared" si="19"/>
        <v>0</v>
      </c>
      <c r="T33" s="36">
        <f>+T20+T24+T27+T32+T30+T6+T11+T5+T9</f>
        <v>23005623.971000001</v>
      </c>
      <c r="U33" s="36">
        <f>+U20+U24+U27+U32+U30+U6+U11+U5+U9</f>
        <v>77186730.028999999</v>
      </c>
    </row>
    <row r="34" spans="2:21" ht="16.5" customHeight="1">
      <c r="B34" s="43"/>
      <c r="C34" s="43"/>
      <c r="D34" s="54" t="s">
        <v>59</v>
      </c>
      <c r="E34" s="55">
        <f>+E5+E6+E11+E20+E27</f>
        <v>98218095</v>
      </c>
      <c r="F34" s="55">
        <f>+F5+F6+F9+F11+F20+F27</f>
        <v>97409464</v>
      </c>
      <c r="G34" s="55">
        <f>+G5+G6+G11+G20+G27</f>
        <v>68568402.714000002</v>
      </c>
      <c r="H34" s="38">
        <f t="shared" ref="H34:S34" si="20">+H5+H6+H9+H11+H20+H28+H29</f>
        <v>0</v>
      </c>
      <c r="I34" s="38">
        <f t="shared" si="20"/>
        <v>2916644.8160000006</v>
      </c>
      <c r="J34" s="38">
        <f t="shared" si="20"/>
        <v>3569580.9029999999</v>
      </c>
      <c r="K34" s="38">
        <f t="shared" si="20"/>
        <v>2698482.8019999997</v>
      </c>
      <c r="L34" s="38">
        <f t="shared" si="20"/>
        <v>4332956.2029999997</v>
      </c>
      <c r="M34" s="38">
        <f t="shared" si="20"/>
        <v>2961260.6770000001</v>
      </c>
      <c r="N34" s="38">
        <f t="shared" si="20"/>
        <v>3743809.0669999998</v>
      </c>
      <c r="O34" s="38">
        <f t="shared" si="20"/>
        <v>0</v>
      </c>
      <c r="P34" s="38">
        <f t="shared" si="20"/>
        <v>0</v>
      </c>
      <c r="Q34" s="38">
        <f t="shared" si="20"/>
        <v>0</v>
      </c>
      <c r="R34" s="38">
        <f t="shared" si="20"/>
        <v>0</v>
      </c>
      <c r="S34" s="38">
        <f t="shared" si="20"/>
        <v>0</v>
      </c>
      <c r="T34" s="38">
        <f>+T5+T6+T11+T20+T28+T29+T9</f>
        <v>20222734.467999998</v>
      </c>
      <c r="U34" s="24">
        <f>+U5+U6+U11+U20+U9+U28+U29</f>
        <v>77186729.53199999</v>
      </c>
    </row>
    <row r="35" spans="2:21" ht="18.75" customHeight="1">
      <c r="B35" s="43"/>
      <c r="C35" s="43"/>
      <c r="D35" s="310" t="s">
        <v>60</v>
      </c>
      <c r="E35" s="310"/>
      <c r="F35" s="310"/>
      <c r="G35" s="310"/>
      <c r="H35" s="203">
        <f t="shared" ref="H35:M35" si="21">+H33/$F$33</f>
        <v>2.7775467806655185E-2</v>
      </c>
      <c r="I35" s="203">
        <f t="shared" si="21"/>
        <v>2.9110453039161058E-2</v>
      </c>
      <c r="J35" s="203">
        <f t="shared" si="21"/>
        <v>3.5627278534647464E-2</v>
      </c>
      <c r="K35" s="203">
        <f t="shared" si="21"/>
        <v>2.6933021276254274E-2</v>
      </c>
      <c r="L35" s="203">
        <f t="shared" si="21"/>
        <v>4.3246375896108795E-2</v>
      </c>
      <c r="M35" s="203">
        <f t="shared" si="21"/>
        <v>2.9555755092848704E-2</v>
      </c>
      <c r="N35" s="203">
        <f t="shared" ref="N35" si="22">+N33/$F$33</f>
        <v>3.7366215260298208E-2</v>
      </c>
      <c r="O35" s="203">
        <f>+O33/$F$33</f>
        <v>0</v>
      </c>
      <c r="P35" s="203">
        <f>+P33/$F$33</f>
        <v>0</v>
      </c>
      <c r="Q35" s="203">
        <f>+Q33/$F$33</f>
        <v>0</v>
      </c>
      <c r="R35" s="203">
        <f>+R33/$F$33</f>
        <v>0</v>
      </c>
      <c r="S35" s="203">
        <f>+S33/$F$33</f>
        <v>0</v>
      </c>
      <c r="T35" s="206">
        <f>(T33/F33)</f>
        <v>0.2296145669059737</v>
      </c>
      <c r="U35" s="26">
        <f>U33/F33</f>
        <v>0.7703854330940263</v>
      </c>
    </row>
    <row r="36" spans="2:21" ht="20.25" customHeight="1">
      <c r="B36" s="43"/>
      <c r="C36" s="43"/>
      <c r="D36" s="302" t="s">
        <v>61</v>
      </c>
      <c r="E36" s="302"/>
      <c r="F36" s="302"/>
      <c r="G36" s="302"/>
      <c r="H36" s="203">
        <f t="shared" ref="H36:M36" si="23">+H34/$F$34</f>
        <v>0</v>
      </c>
      <c r="I36" s="203">
        <f t="shared" si="23"/>
        <v>2.9942109280059283E-2</v>
      </c>
      <c r="J36" s="203">
        <f t="shared" si="23"/>
        <v>3.6645113897762538E-2</v>
      </c>
      <c r="K36" s="203">
        <f t="shared" si="23"/>
        <v>2.7702470490957632E-2</v>
      </c>
      <c r="L36" s="203">
        <f t="shared" si="23"/>
        <v>4.4481881175323985E-2</v>
      </c>
      <c r="M36" s="203">
        <f t="shared" si="23"/>
        <v>3.0400133163652355E-2</v>
      </c>
      <c r="N36" s="203">
        <f t="shared" ref="N36" si="24">+N34/$F$34</f>
        <v>3.8433730289286878E-2</v>
      </c>
      <c r="O36" s="203">
        <f>+O34/$F$34</f>
        <v>0</v>
      </c>
      <c r="P36" s="203">
        <f>+P34/$F$34</f>
        <v>0</v>
      </c>
      <c r="Q36" s="203">
        <f>+Q34/$F$34</f>
        <v>0</v>
      </c>
      <c r="R36" s="203">
        <f>+R34/$F$34</f>
        <v>0</v>
      </c>
      <c r="S36" s="203">
        <f>+S34/$F$34</f>
        <v>0</v>
      </c>
      <c r="T36" s="205">
        <f>+T34/F34</f>
        <v>0.20760543829704267</v>
      </c>
      <c r="U36" s="26">
        <f>U34/F34</f>
        <v>0.79239456170295719</v>
      </c>
    </row>
    <row r="37" spans="2:21" ht="13.5" hidden="1" customHeight="1">
      <c r="B37" s="43"/>
      <c r="C37" s="43"/>
      <c r="D37" s="46"/>
      <c r="E37" s="29"/>
      <c r="F37" s="25"/>
      <c r="O37" s="242"/>
      <c r="P37" s="242"/>
      <c r="Q37" s="242"/>
      <c r="R37" s="242"/>
      <c r="S37" s="245" t="s">
        <v>62</v>
      </c>
      <c r="T37" s="39">
        <f>(3/12)</f>
        <v>0.25</v>
      </c>
      <c r="U37" s="26">
        <f>1/12</f>
        <v>8.3333333333333329E-2</v>
      </c>
    </row>
    <row r="38" spans="2:21" ht="13.5" hidden="1" customHeight="1">
      <c r="B38" s="43"/>
      <c r="C38" s="43"/>
      <c r="D38" s="46"/>
      <c r="E38" s="29"/>
      <c r="F38" s="25"/>
      <c r="O38" s="242"/>
      <c r="P38" s="242"/>
      <c r="Q38" s="242"/>
      <c r="R38" s="242"/>
      <c r="S38" s="246" t="s">
        <v>63</v>
      </c>
      <c r="T38" s="200">
        <f>T35-T37</f>
        <v>-2.0385433094026295E-2</v>
      </c>
      <c r="U38" s="28"/>
    </row>
    <row r="39" spans="2:21" ht="13.5" hidden="1" customHeight="1">
      <c r="B39" s="43"/>
      <c r="C39" s="43"/>
      <c r="D39" s="46"/>
      <c r="E39" s="29"/>
      <c r="F39" s="25"/>
      <c r="O39" s="242"/>
      <c r="P39" s="242"/>
      <c r="Q39" s="242"/>
      <c r="R39" s="242"/>
      <c r="S39" s="246" t="s">
        <v>64</v>
      </c>
      <c r="T39" s="39">
        <f>+IF(+T38&gt;0,+T38,0)</f>
        <v>0</v>
      </c>
      <c r="U39" s="25"/>
    </row>
    <row r="40" spans="2:21" ht="13.5" hidden="1" customHeight="1">
      <c r="B40" s="43"/>
      <c r="C40" s="43"/>
      <c r="D40" s="46"/>
      <c r="E40" s="29"/>
      <c r="F40" s="25"/>
      <c r="O40" s="242"/>
      <c r="P40" s="242"/>
      <c r="Q40" s="242"/>
      <c r="R40" s="242"/>
      <c r="S40" s="246" t="s">
        <v>65</v>
      </c>
      <c r="T40" s="40">
        <f>+IF(+T38&gt;0,0,-T38)</f>
        <v>2.0385433094026295E-2</v>
      </c>
      <c r="U40" s="25"/>
    </row>
    <row r="41" spans="2:21" ht="13.5" hidden="1" customHeight="1">
      <c r="B41" s="43"/>
      <c r="C41" s="43"/>
      <c r="D41" s="46"/>
      <c r="E41" s="29"/>
      <c r="F41" s="25"/>
      <c r="O41" s="242"/>
      <c r="P41" s="242"/>
      <c r="Q41" s="242"/>
      <c r="R41" s="242"/>
      <c r="S41" s="246" t="s">
        <v>66</v>
      </c>
      <c r="T41" s="41">
        <f>+T40*F33</f>
        <v>2042464.5289999978</v>
      </c>
      <c r="U41" s="25"/>
    </row>
    <row r="42" spans="2:21" ht="13.5" customHeight="1">
      <c r="B42" s="43"/>
      <c r="C42" s="43"/>
      <c r="D42" s="46"/>
      <c r="E42" s="29"/>
      <c r="F42" s="25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31"/>
      <c r="T42" s="53"/>
      <c r="U42" s="25"/>
    </row>
    <row r="43" spans="2:21" ht="15.75" hidden="1" customHeight="1">
      <c r="B43" s="43"/>
      <c r="C43" s="43"/>
      <c r="D43" s="46"/>
      <c r="E43" s="29"/>
      <c r="F43" s="25"/>
      <c r="H43" s="3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53"/>
      <c r="U43" s="25"/>
    </row>
    <row r="44" spans="2:21" ht="15.75" hidden="1" customHeight="1">
      <c r="B44" s="43"/>
      <c r="C44" s="43"/>
      <c r="D44" s="46"/>
      <c r="E44" s="29"/>
      <c r="F44" s="25"/>
      <c r="H44" s="37" t="str">
        <f t="shared" ref="H44:S44" si="25">H3</f>
        <v>EJECUTADO</v>
      </c>
      <c r="I44" s="37" t="str">
        <f t="shared" si="25"/>
        <v>EJECUTADO</v>
      </c>
      <c r="J44" s="64" t="str">
        <f t="shared" si="25"/>
        <v>EJECUTADO</v>
      </c>
      <c r="K44" s="64" t="str">
        <f t="shared" si="25"/>
        <v>EJECUTADO</v>
      </c>
      <c r="L44" s="64" t="str">
        <f t="shared" si="25"/>
        <v>EJECUTADO</v>
      </c>
      <c r="M44" s="64" t="str">
        <f t="shared" si="25"/>
        <v>EJECUTADO</v>
      </c>
      <c r="N44" s="64" t="str">
        <f t="shared" si="25"/>
        <v>EJECUTADO</v>
      </c>
      <c r="O44" s="64" t="str">
        <f t="shared" si="25"/>
        <v>EJECUTADO</v>
      </c>
      <c r="P44" s="64" t="str">
        <f t="shared" si="25"/>
        <v>EJECUTADO</v>
      </c>
      <c r="Q44" s="64" t="str">
        <f t="shared" si="25"/>
        <v>EJECUTADO</v>
      </c>
      <c r="R44" s="64" t="str">
        <f t="shared" si="25"/>
        <v>EJECUTADO</v>
      </c>
      <c r="S44" s="64" t="str">
        <f t="shared" si="25"/>
        <v>EJECUTADO</v>
      </c>
      <c r="T44" s="53"/>
      <c r="U44" s="25"/>
    </row>
    <row r="45" spans="2:21" ht="15.75" hidden="1" customHeight="1">
      <c r="B45" s="43"/>
      <c r="C45" s="43"/>
      <c r="D45" s="54" t="s">
        <v>67</v>
      </c>
      <c r="E45" s="55">
        <f>E34</f>
        <v>98218095</v>
      </c>
      <c r="F45" s="25"/>
      <c r="H45" s="38">
        <f t="shared" ref="H45:S45" si="26">H34</f>
        <v>0</v>
      </c>
      <c r="I45" s="38">
        <f t="shared" si="26"/>
        <v>2916644.8160000006</v>
      </c>
      <c r="J45" s="38">
        <f t="shared" si="26"/>
        <v>3569580.9029999999</v>
      </c>
      <c r="K45" s="38">
        <f t="shared" si="26"/>
        <v>2698482.8019999997</v>
      </c>
      <c r="L45" s="38">
        <f t="shared" si="26"/>
        <v>4332956.2029999997</v>
      </c>
      <c r="M45" s="38">
        <f t="shared" si="26"/>
        <v>2961260.6770000001</v>
      </c>
      <c r="N45" s="38">
        <f t="shared" si="26"/>
        <v>3743809.0669999998</v>
      </c>
      <c r="O45" s="38">
        <f t="shared" si="26"/>
        <v>0</v>
      </c>
      <c r="P45" s="38">
        <f t="shared" si="26"/>
        <v>0</v>
      </c>
      <c r="Q45" s="38">
        <f t="shared" si="26"/>
        <v>0</v>
      </c>
      <c r="R45" s="38">
        <f t="shared" si="26"/>
        <v>0</v>
      </c>
      <c r="S45" s="55">
        <f t="shared" si="26"/>
        <v>0</v>
      </c>
      <c r="T45" s="53"/>
      <c r="U45" s="25"/>
    </row>
    <row r="46" spans="2:21" ht="15.75" hidden="1" customHeight="1">
      <c r="B46" s="43"/>
      <c r="C46" s="43"/>
      <c r="D46" s="56" t="s">
        <v>68</v>
      </c>
      <c r="E46" s="57"/>
      <c r="F46" s="25"/>
      <c r="H46" s="58">
        <f>H45</f>
        <v>0</v>
      </c>
      <c r="I46" s="58">
        <f>I45</f>
        <v>2916644.8160000006</v>
      </c>
      <c r="J46" s="58">
        <f t="shared" ref="J46:Q46" si="27">I46+J45</f>
        <v>6486225.7190000005</v>
      </c>
      <c r="K46" s="58">
        <f t="shared" si="27"/>
        <v>9184708.5209999997</v>
      </c>
      <c r="L46" s="58">
        <f t="shared" si="27"/>
        <v>13517664.723999999</v>
      </c>
      <c r="M46" s="58">
        <f>L46+M45</f>
        <v>16478925.401000001</v>
      </c>
      <c r="N46" s="58">
        <f t="shared" si="27"/>
        <v>20222734.468000002</v>
      </c>
      <c r="O46" s="58">
        <f t="shared" si="27"/>
        <v>20222734.468000002</v>
      </c>
      <c r="P46" s="58">
        <f>O46+P45</f>
        <v>20222734.468000002</v>
      </c>
      <c r="Q46" s="58">
        <f t="shared" si="27"/>
        <v>20222734.468000002</v>
      </c>
      <c r="R46" s="58">
        <f>Q46+R45</f>
        <v>20222734.468000002</v>
      </c>
      <c r="S46" s="57">
        <f>R46+S45</f>
        <v>20222734.468000002</v>
      </c>
      <c r="T46" s="53"/>
      <c r="U46" s="25"/>
    </row>
    <row r="47" spans="2:21" ht="15.75" hidden="1" customHeight="1">
      <c r="F47" s="25"/>
      <c r="U47" s="25"/>
    </row>
    <row r="48" spans="2:21" ht="23.25" customHeight="1">
      <c r="F48" s="25"/>
      <c r="H48" s="71" t="s">
        <v>69</v>
      </c>
      <c r="T48" s="25"/>
      <c r="U48" s="25"/>
    </row>
    <row r="49" spans="4:23" ht="15.75" customHeight="1">
      <c r="F49" s="25"/>
      <c r="H49" s="37" t="str">
        <f t="shared" ref="H49:S49" si="28">H3</f>
        <v>EJECUTADO</v>
      </c>
      <c r="I49" s="37" t="str">
        <f t="shared" si="28"/>
        <v>EJECUTADO</v>
      </c>
      <c r="J49" s="37" t="str">
        <f t="shared" si="28"/>
        <v>EJECUTADO</v>
      </c>
      <c r="K49" s="37" t="str">
        <f t="shared" si="28"/>
        <v>EJECUTADO</v>
      </c>
      <c r="L49" s="37" t="str">
        <f t="shared" si="28"/>
        <v>EJECUTADO</v>
      </c>
      <c r="M49" s="37" t="str">
        <f t="shared" si="28"/>
        <v>EJECUTADO</v>
      </c>
      <c r="N49" s="37" t="str">
        <f t="shared" si="28"/>
        <v>EJECUTADO</v>
      </c>
      <c r="O49" s="37" t="str">
        <f t="shared" si="28"/>
        <v>EJECUTADO</v>
      </c>
      <c r="P49" s="37" t="str">
        <f t="shared" si="28"/>
        <v>EJECUTADO</v>
      </c>
      <c r="Q49" s="37" t="str">
        <f t="shared" si="28"/>
        <v>EJECUTADO</v>
      </c>
      <c r="R49" s="37" t="str">
        <f t="shared" si="28"/>
        <v>EJECUTADO</v>
      </c>
      <c r="S49" s="37" t="str">
        <f t="shared" si="28"/>
        <v>EJECUTADO</v>
      </c>
      <c r="T49" s="25"/>
      <c r="U49" s="25"/>
    </row>
    <row r="50" spans="4:23" ht="15.75" customHeight="1">
      <c r="F50" s="243"/>
      <c r="G50" s="244" t="s">
        <v>6</v>
      </c>
      <c r="H50" s="30" t="s">
        <v>10</v>
      </c>
      <c r="I50" s="30" t="s">
        <v>11</v>
      </c>
      <c r="J50" s="30" t="s">
        <v>12</v>
      </c>
      <c r="K50" s="30" t="s">
        <v>13</v>
      </c>
      <c r="L50" s="30" t="s">
        <v>14</v>
      </c>
      <c r="M50" s="30" t="s">
        <v>15</v>
      </c>
      <c r="N50" s="30" t="s">
        <v>16</v>
      </c>
      <c r="O50" s="30" t="s">
        <v>17</v>
      </c>
      <c r="P50" s="30" t="s">
        <v>18</v>
      </c>
      <c r="Q50" s="30" t="s">
        <v>19</v>
      </c>
      <c r="R50" s="30" t="s">
        <v>20</v>
      </c>
      <c r="S50" s="30" t="s">
        <v>21</v>
      </c>
      <c r="T50" s="72" t="s">
        <v>70</v>
      </c>
      <c r="U50" s="25"/>
    </row>
    <row r="51" spans="4:23" ht="15.75" customHeight="1">
      <c r="F51" s="243"/>
      <c r="G51" s="247" t="s">
        <v>47</v>
      </c>
      <c r="H51" s="49">
        <f t="shared" ref="H51:S51" si="29">H20</f>
        <v>0</v>
      </c>
      <c r="I51" s="49">
        <f t="shared" si="29"/>
        <v>0</v>
      </c>
      <c r="J51" s="49">
        <f t="shared" si="29"/>
        <v>1567396.095</v>
      </c>
      <c r="K51" s="49">
        <f t="shared" si="29"/>
        <v>441930.89200000005</v>
      </c>
      <c r="L51" s="49">
        <f t="shared" si="29"/>
        <v>461615.16799999995</v>
      </c>
      <c r="M51" s="49">
        <f t="shared" si="29"/>
        <v>752774.26399999997</v>
      </c>
      <c r="N51" s="49">
        <f t="shared" si="29"/>
        <v>510468.61800000002</v>
      </c>
      <c r="O51" s="49">
        <f t="shared" si="29"/>
        <v>0</v>
      </c>
      <c r="P51" s="49">
        <f t="shared" si="29"/>
        <v>0</v>
      </c>
      <c r="Q51" s="49">
        <f t="shared" si="29"/>
        <v>0</v>
      </c>
      <c r="R51" s="49">
        <f t="shared" si="29"/>
        <v>0</v>
      </c>
      <c r="S51" s="49">
        <f t="shared" si="29"/>
        <v>0</v>
      </c>
      <c r="T51" s="48">
        <f>SUM(H51:S51)</f>
        <v>3734185.0369999995</v>
      </c>
      <c r="U51" s="25"/>
    </row>
    <row r="52" spans="4:23" ht="15.75" customHeight="1">
      <c r="F52" s="243"/>
      <c r="G52" s="247" t="s">
        <v>32</v>
      </c>
      <c r="H52" s="50">
        <f t="shared" ref="H52:S52" si="30">H11</f>
        <v>0</v>
      </c>
      <c r="I52" s="50">
        <f t="shared" si="30"/>
        <v>0</v>
      </c>
      <c r="J52" s="50">
        <f t="shared" si="30"/>
        <v>186247.26</v>
      </c>
      <c r="K52" s="50">
        <f t="shared" si="30"/>
        <v>671703.81400000001</v>
      </c>
      <c r="L52" s="50">
        <f t="shared" si="30"/>
        <v>2227955.0729999999</v>
      </c>
      <c r="M52" s="50">
        <f t="shared" si="30"/>
        <v>0</v>
      </c>
      <c r="N52" s="50">
        <f t="shared" si="30"/>
        <v>86191.7</v>
      </c>
      <c r="O52" s="50">
        <f t="shared" si="30"/>
        <v>0</v>
      </c>
      <c r="P52" s="50">
        <f t="shared" si="30"/>
        <v>0</v>
      </c>
      <c r="Q52" s="50">
        <f t="shared" si="30"/>
        <v>0</v>
      </c>
      <c r="R52" s="50">
        <f t="shared" si="30"/>
        <v>0</v>
      </c>
      <c r="S52" s="50">
        <f t="shared" si="30"/>
        <v>0</v>
      </c>
      <c r="T52" s="48">
        <f t="shared" ref="T52:T58" si="31">SUM(H52:S52)</f>
        <v>3172097.8470000001</v>
      </c>
      <c r="U52" s="25"/>
    </row>
    <row r="53" spans="4:23" ht="15.75" customHeight="1">
      <c r="F53" s="243"/>
      <c r="G53" s="247" t="s">
        <v>53</v>
      </c>
      <c r="H53" s="49">
        <f t="shared" ref="H53:S53" si="32">H27</f>
        <v>0</v>
      </c>
      <c r="I53" s="49">
        <f t="shared" si="32"/>
        <v>384347.42200000002</v>
      </c>
      <c r="J53" s="49">
        <f t="shared" si="32"/>
        <v>744746.81400000001</v>
      </c>
      <c r="K53" s="49">
        <f t="shared" si="32"/>
        <v>819448.26799999981</v>
      </c>
      <c r="L53" s="49">
        <f t="shared" si="32"/>
        <v>1068051.2340000002</v>
      </c>
      <c r="M53" s="49">
        <f t="shared" si="32"/>
        <v>835548.40899999999</v>
      </c>
      <c r="N53" s="49">
        <f t="shared" si="32"/>
        <v>1067530.3739999998</v>
      </c>
      <c r="O53" s="49">
        <f t="shared" si="32"/>
        <v>0</v>
      </c>
      <c r="P53" s="49">
        <f t="shared" si="32"/>
        <v>0</v>
      </c>
      <c r="Q53" s="49">
        <f t="shared" si="32"/>
        <v>0</v>
      </c>
      <c r="R53" s="49">
        <f t="shared" si="32"/>
        <v>0</v>
      </c>
      <c r="S53" s="49">
        <f t="shared" si="32"/>
        <v>0</v>
      </c>
      <c r="T53" s="48">
        <f t="shared" si="31"/>
        <v>4919672.5209999997</v>
      </c>
      <c r="U53" s="25"/>
    </row>
    <row r="54" spans="4:23" ht="15.75" customHeight="1">
      <c r="F54" s="306" t="s">
        <v>29</v>
      </c>
      <c r="G54" s="307"/>
      <c r="H54" s="49">
        <f t="shared" ref="H54:S54" si="33">H9</f>
        <v>0</v>
      </c>
      <c r="I54" s="49">
        <f t="shared" si="33"/>
        <v>0</v>
      </c>
      <c r="J54" s="49">
        <f t="shared" si="33"/>
        <v>0</v>
      </c>
      <c r="K54" s="49">
        <f t="shared" si="33"/>
        <v>0</v>
      </c>
      <c r="L54" s="49">
        <f t="shared" si="33"/>
        <v>9996</v>
      </c>
      <c r="M54" s="49">
        <f t="shared" si="33"/>
        <v>63743.588000000003</v>
      </c>
      <c r="N54" s="49">
        <f t="shared" si="33"/>
        <v>1107647.0020000001</v>
      </c>
      <c r="O54" s="49">
        <f t="shared" si="33"/>
        <v>0</v>
      </c>
      <c r="P54" s="49">
        <f t="shared" si="33"/>
        <v>0</v>
      </c>
      <c r="Q54" s="49">
        <f t="shared" si="33"/>
        <v>0</v>
      </c>
      <c r="R54" s="49">
        <f t="shared" si="33"/>
        <v>0</v>
      </c>
      <c r="S54" s="49">
        <f t="shared" si="33"/>
        <v>0</v>
      </c>
      <c r="T54" s="48">
        <f t="shared" si="31"/>
        <v>1181386.5900000001</v>
      </c>
      <c r="U54" s="25"/>
    </row>
    <row r="55" spans="4:23" ht="15.75" customHeight="1">
      <c r="F55" s="243"/>
      <c r="G55" s="247" t="s">
        <v>24</v>
      </c>
      <c r="H55" s="50">
        <f t="shared" ref="H55:S55" si="34">H6</f>
        <v>0</v>
      </c>
      <c r="I55" s="50">
        <f t="shared" si="34"/>
        <v>2532297.3940000003</v>
      </c>
      <c r="J55" s="50">
        <f t="shared" si="34"/>
        <v>1071190.7339999999</v>
      </c>
      <c r="K55" s="50">
        <f t="shared" si="34"/>
        <v>765399.82799999998</v>
      </c>
      <c r="L55" s="50">
        <f t="shared" si="34"/>
        <v>565338.728</v>
      </c>
      <c r="M55" s="50">
        <f t="shared" si="34"/>
        <v>1309194.416</v>
      </c>
      <c r="N55" s="50">
        <f t="shared" si="34"/>
        <v>971971.37300000014</v>
      </c>
      <c r="O55" s="50">
        <f t="shared" si="34"/>
        <v>0</v>
      </c>
      <c r="P55" s="50">
        <f t="shared" si="34"/>
        <v>0</v>
      </c>
      <c r="Q55" s="50">
        <f t="shared" si="34"/>
        <v>0</v>
      </c>
      <c r="R55" s="50">
        <f t="shared" si="34"/>
        <v>0</v>
      </c>
      <c r="S55" s="50">
        <f t="shared" si="34"/>
        <v>0</v>
      </c>
      <c r="T55" s="48">
        <f t="shared" si="31"/>
        <v>7215392.4730000012</v>
      </c>
      <c r="U55" s="25"/>
    </row>
    <row r="56" spans="4:23" ht="15.75" customHeight="1">
      <c r="F56" s="243"/>
      <c r="G56" s="247" t="s">
        <v>23</v>
      </c>
      <c r="H56" s="49">
        <f t="shared" ref="H56:S56" si="35">H5</f>
        <v>0</v>
      </c>
      <c r="I56" s="49">
        <f t="shared" si="35"/>
        <v>0</v>
      </c>
      <c r="J56" s="49">
        <f t="shared" si="35"/>
        <v>0</v>
      </c>
      <c r="K56" s="49">
        <f t="shared" si="35"/>
        <v>0</v>
      </c>
      <c r="L56" s="49">
        <f t="shared" si="35"/>
        <v>0</v>
      </c>
      <c r="M56" s="49">
        <f t="shared" si="35"/>
        <v>0</v>
      </c>
      <c r="N56" s="49">
        <f t="shared" si="35"/>
        <v>0</v>
      </c>
      <c r="O56" s="49">
        <f t="shared" si="35"/>
        <v>0</v>
      </c>
      <c r="P56" s="49">
        <f t="shared" si="35"/>
        <v>0</v>
      </c>
      <c r="Q56" s="49">
        <f t="shared" si="35"/>
        <v>0</v>
      </c>
      <c r="R56" s="49">
        <f t="shared" si="35"/>
        <v>0</v>
      </c>
      <c r="S56" s="49">
        <f t="shared" si="35"/>
        <v>0</v>
      </c>
      <c r="T56" s="48">
        <f t="shared" si="31"/>
        <v>0</v>
      </c>
      <c r="U56" s="25"/>
    </row>
    <row r="57" spans="4:23" ht="15.75" customHeight="1">
      <c r="F57" s="306" t="s">
        <v>71</v>
      </c>
      <c r="G57" s="307"/>
      <c r="H57" s="49">
        <f t="shared" ref="H57:S57" si="36">+H30</f>
        <v>2782889.503</v>
      </c>
      <c r="I57" s="49">
        <f t="shared" si="36"/>
        <v>0</v>
      </c>
      <c r="J57" s="49">
        <f t="shared" si="36"/>
        <v>0</v>
      </c>
      <c r="K57" s="49">
        <f t="shared" si="36"/>
        <v>0</v>
      </c>
      <c r="L57" s="49">
        <f t="shared" si="36"/>
        <v>0</v>
      </c>
      <c r="M57" s="49">
        <f t="shared" si="36"/>
        <v>0</v>
      </c>
      <c r="N57" s="49">
        <f t="shared" si="36"/>
        <v>0</v>
      </c>
      <c r="O57" s="49">
        <f t="shared" si="36"/>
        <v>0</v>
      </c>
      <c r="P57" s="49">
        <f t="shared" si="36"/>
        <v>0</v>
      </c>
      <c r="Q57" s="49">
        <f t="shared" si="36"/>
        <v>0</v>
      </c>
      <c r="R57" s="49">
        <f t="shared" si="36"/>
        <v>0</v>
      </c>
      <c r="S57" s="49">
        <f t="shared" si="36"/>
        <v>0</v>
      </c>
      <c r="T57" s="48">
        <f t="shared" si="31"/>
        <v>2782889.503</v>
      </c>
      <c r="U57" s="25"/>
    </row>
    <row r="58" spans="4:23" ht="15.75" customHeight="1">
      <c r="F58" s="300"/>
      <c r="G58" s="300" t="s">
        <v>72</v>
      </c>
      <c r="H58" s="48">
        <f>SUM(H51:H57)</f>
        <v>2782889.503</v>
      </c>
      <c r="I58" s="48">
        <f t="shared" ref="I58:S58" si="37">SUM(I51:I57)</f>
        <v>2916644.8160000006</v>
      </c>
      <c r="J58" s="48">
        <f t="shared" si="37"/>
        <v>3569580.9029999999</v>
      </c>
      <c r="K58" s="48">
        <f t="shared" si="37"/>
        <v>2698482.8020000001</v>
      </c>
      <c r="L58" s="48">
        <f t="shared" si="37"/>
        <v>4332956.2029999997</v>
      </c>
      <c r="M58" s="48">
        <f t="shared" si="37"/>
        <v>2961260.6770000001</v>
      </c>
      <c r="N58" s="48">
        <f t="shared" si="37"/>
        <v>3743809.0670000003</v>
      </c>
      <c r="O58" s="48">
        <f t="shared" si="37"/>
        <v>0</v>
      </c>
      <c r="P58" s="48">
        <f t="shared" si="37"/>
        <v>0</v>
      </c>
      <c r="Q58" s="48">
        <f t="shared" si="37"/>
        <v>0</v>
      </c>
      <c r="R58" s="48">
        <f t="shared" si="37"/>
        <v>0</v>
      </c>
      <c r="S58" s="48">
        <f t="shared" si="37"/>
        <v>0</v>
      </c>
      <c r="T58" s="48">
        <f t="shared" si="31"/>
        <v>23005623.971000001</v>
      </c>
      <c r="U58" s="25"/>
    </row>
    <row r="59" spans="4:23" ht="19.5" customHeight="1">
      <c r="F59" s="243"/>
      <c r="G59" s="308" t="s">
        <v>73</v>
      </c>
      <c r="H59" s="308"/>
      <c r="I59" s="308"/>
      <c r="J59" s="308"/>
      <c r="K59" s="308"/>
      <c r="L59" s="308"/>
    </row>
    <row r="60" spans="4:23" ht="18" customHeight="1">
      <c r="H60" s="47"/>
    </row>
    <row r="61" spans="4:23" ht="23.25" customHeight="1">
      <c r="D61" s="71" t="s">
        <v>74</v>
      </c>
      <c r="H61" s="71" t="s">
        <v>75</v>
      </c>
      <c r="N61" s="62"/>
      <c r="O61" s="62"/>
      <c r="P61" s="62"/>
      <c r="Q61" s="62"/>
      <c r="V61" s="71" t="s">
        <v>76</v>
      </c>
    </row>
    <row r="62" spans="4:23" ht="16.5" customHeight="1">
      <c r="D62" s="61"/>
      <c r="E62" s="61"/>
      <c r="H62" s="64" t="str">
        <f t="shared" ref="H62:S62" si="38">H3</f>
        <v>EJECUTADO</v>
      </c>
      <c r="I62" s="64" t="str">
        <f t="shared" si="38"/>
        <v>EJECUTADO</v>
      </c>
      <c r="J62" s="64" t="str">
        <f t="shared" si="38"/>
        <v>EJECUTADO</v>
      </c>
      <c r="K62" s="64" t="str">
        <f t="shared" si="38"/>
        <v>EJECUTADO</v>
      </c>
      <c r="L62" s="64" t="str">
        <f t="shared" si="38"/>
        <v>EJECUTADO</v>
      </c>
      <c r="M62" s="64" t="str">
        <f t="shared" si="38"/>
        <v>EJECUTADO</v>
      </c>
      <c r="N62" s="64" t="str">
        <f t="shared" si="38"/>
        <v>EJECUTADO</v>
      </c>
      <c r="O62" s="64" t="str">
        <f t="shared" si="38"/>
        <v>EJECUTADO</v>
      </c>
      <c r="P62" s="64" t="str">
        <f t="shared" si="38"/>
        <v>EJECUTADO</v>
      </c>
      <c r="Q62" s="64" t="str">
        <f t="shared" si="38"/>
        <v>EJECUTADO</v>
      </c>
      <c r="R62" s="64" t="str">
        <f t="shared" si="38"/>
        <v>EJECUTADO</v>
      </c>
      <c r="S62" s="64" t="str">
        <f t="shared" si="38"/>
        <v>EJECUTADO</v>
      </c>
      <c r="T62" s="64" t="s">
        <v>77</v>
      </c>
      <c r="V62" s="61"/>
      <c r="W62" s="61"/>
    </row>
    <row r="63" spans="4:23" ht="18" customHeight="1">
      <c r="D63" s="281" t="s">
        <v>78</v>
      </c>
      <c r="E63" s="282" t="s">
        <v>79</v>
      </c>
      <c r="H63" s="132">
        <v>45658</v>
      </c>
      <c r="I63" s="132">
        <v>45689</v>
      </c>
      <c r="J63" s="132">
        <v>45717</v>
      </c>
      <c r="K63" s="132">
        <v>45748</v>
      </c>
      <c r="L63" s="132">
        <v>45778</v>
      </c>
      <c r="M63" s="132">
        <v>45809</v>
      </c>
      <c r="N63" s="132">
        <v>45839</v>
      </c>
      <c r="O63" s="132">
        <v>45870</v>
      </c>
      <c r="P63" s="132">
        <v>45901</v>
      </c>
      <c r="Q63" s="132">
        <v>45931</v>
      </c>
      <c r="R63" s="132">
        <v>45962</v>
      </c>
      <c r="S63" s="132">
        <v>45992</v>
      </c>
      <c r="T63" s="92">
        <v>2025</v>
      </c>
      <c r="V63" s="63" t="s">
        <v>78</v>
      </c>
      <c r="W63" s="91" t="s">
        <v>80</v>
      </c>
    </row>
    <row r="64" spans="4:23" ht="18" customHeight="1">
      <c r="D64" s="283" t="s">
        <v>81</v>
      </c>
      <c r="E64" s="284">
        <v>353100</v>
      </c>
      <c r="H64" s="83">
        <f>SUMIFS('2025 FNDR'!$Q$4:$Q$356,'2025 FNDR'!$G$4:$G$356,'2025 RESUMEN'!D64)</f>
        <v>0</v>
      </c>
      <c r="I64" s="83">
        <f>SUMIFS('2025 FNDR'!$R$5:$R$483,'2025 FNDR'!$G$5:$G$483,'2025 RESUMEN'!D64)+SUMIFS('FRIL 2025'!$J$3:$J$61,'FRIL 2025'!$G$3:$G$61,'2025 RESUMEN'!$D64)</f>
        <v>84534.445000000007</v>
      </c>
      <c r="J64" s="83">
        <f>SUMIFS('2025 FNDR'!$S$5:$S$483,'2025 FNDR'!$G$5:$G$483,'2025 RESUMEN'!D64)+SUMIFS('FRIL 2025'!$K$3:$K$61,'FRIL 2025'!$G$3:$G$61,'2025 RESUMEN'!$D64)</f>
        <v>16423.352999999999</v>
      </c>
      <c r="K64" s="83">
        <f>SUMIFS('2025 FNDR'!$T$4:$T$356,'2025 FNDR'!$G$4:$G$356,'2025 RESUMEN'!D64)+SUMIFS('FRIL 2025'!$L$3:$L$63,'FRIL 2025'!$G$3:$G$63,'2025 RESUMEN'!$D64)</f>
        <v>28485.707999999999</v>
      </c>
      <c r="L64" s="83">
        <f>SUMIFS('2025 FNDR'!$U$4:$U$480,'2025 FNDR'!$G$4:$G$480,'2025 RESUMEN'!D64)+SUMIFS('FRIL 2025'!$M$3:$M$63,'FRIL 2025'!$G$3:$G$63,'2025 RESUMEN'!$D64)</f>
        <v>0</v>
      </c>
      <c r="M64" s="116">
        <f>SUMIFS('2025 FNDR'!$V$4:$V$499,'2025 FNDR'!$G$4:$G$499,'2025 RESUMEN'!D64)+SUMIFS('FRIL 2025'!$N$3:$N$60,'FRIL 2025'!$G$3:$G$60,'2025 RESUMEN'!$D64)</f>
        <v>139996.12899999999</v>
      </c>
      <c r="N64" s="116">
        <f>SUMIFS('2025 FNDR'!$W$4:$W$470,'2025 FNDR'!$G$4:$G$470,'2025 RESUMEN'!D64)+SUMIFS('FRIL 2025'!$O$3:$O$60,'FRIL 2025'!$G$3:$G$60,'2025 RESUMEN'!$D64)</f>
        <v>70416.298999999999</v>
      </c>
      <c r="O64" s="116">
        <f>SUMIFS('2025 FNDR'!$X$4:$X$387,'2025 FNDR'!$G$4:$G$387,'2025 RESUMEN'!D64)+SUMIFS('FRIL 2025'!$P$3:$P$32,'FRIL 2025'!$G$3:$G$32,'2025 RESUMEN'!$D64)</f>
        <v>0</v>
      </c>
      <c r="P64" s="116">
        <f>SUMIFS('2025 FNDR'!$Y$4:$Y$356,'2025 FNDR'!$G$4:$G$356,'2025 RESUMEN'!D64)+SUMIFS('FRIL 2025'!$Q$3:$Q$33,'FRIL 2025'!$G$3:$G$33,'2025 RESUMEN'!$D64)</f>
        <v>0</v>
      </c>
      <c r="Q64" s="116">
        <f>SUMIFS('2025 FNDR'!$Z$4:$Z$420,'2025 FNDR'!$G$4:$G$420,'2025 RESUMEN'!D64)+SUMIFS('FRIL 2025'!$R$3:$R$34,'FRIL 2025'!$G$3:$G$34,'2025 RESUMEN'!$D64)</f>
        <v>0</v>
      </c>
      <c r="R64" s="116">
        <f>SUMIFS('2025 FNDR'!$AA$4:$AA$435,'2025 FNDR'!$G$4:$G$435,'2025 RESUMEN'!D64)+SUMIFS('FRIL 2025'!$S$3:$S$36,'FRIL 2025'!$G$3:$G$36,'2025 RESUMEN'!$D64)</f>
        <v>0</v>
      </c>
      <c r="S64" s="116">
        <f>SUMIFS('2025 FNDR'!$AB$5:$AB$447,'2025 FNDR'!$G$5:$G$447,'2025 RESUMEN'!D64)+SUMIFS('FRIL 2025'!$T$3:$T$37,'FRIL 2025'!$G$3:$G$37,'2025 RESUMEN'!D64)</f>
        <v>0</v>
      </c>
      <c r="T64" s="67">
        <f t="shared" ref="T64:T70" si="39">SUMIFS(H64:S64,$H$62:$S$62,"ejecutado")</f>
        <v>339855.93400000001</v>
      </c>
      <c r="V64" s="66" t="s">
        <v>81</v>
      </c>
      <c r="W64" s="86">
        <f>T64</f>
        <v>339855.93400000001</v>
      </c>
    </row>
    <row r="65" spans="4:23" ht="18" customHeight="1">
      <c r="D65" s="283" t="s">
        <v>82</v>
      </c>
      <c r="E65" s="284">
        <v>665523</v>
      </c>
      <c r="H65" s="83">
        <f>SUMIFS('2025 FNDR'!$Q$4:$Q$356,'2025 FNDR'!$G$4:$G$356,'2025 RESUMEN'!D65)</f>
        <v>0</v>
      </c>
      <c r="I65" s="83">
        <f>SUMIFS('2025 FNDR'!$R$5:$R$483,'2025 FNDR'!$G$5:$G$483,'2025 RESUMEN'!D65)+SUMIFS('FRIL 2025'!$J$3:$J$61,'FRIL 2025'!$G$3:$G$61,'2025 RESUMEN'!$D65)</f>
        <v>0</v>
      </c>
      <c r="J65" s="83">
        <f>SUMIFS('2025 FNDR'!$S$5:$S$483,'2025 FNDR'!$G$5:$G$483,'2025 RESUMEN'!D65)+SUMIFS('FRIL 2025'!$K$3:$K$61,'FRIL 2025'!$G$3:$G$61,'2025 RESUMEN'!$D65)</f>
        <v>0</v>
      </c>
      <c r="K65" s="83">
        <f>SUMIFS('2025 FNDR'!$T$4:$T$356,'2025 FNDR'!$G$4:$G$356,'2025 RESUMEN'!D65)+SUMIFS('FRIL 2025'!$L$3:$L$63,'FRIL 2025'!$G$3:$G$63,'2025 RESUMEN'!$D65)</f>
        <v>207667.28200000001</v>
      </c>
      <c r="L65" s="83">
        <f>SUMIFS('2025 FNDR'!$U$4:$U$480,'2025 FNDR'!$G$4:$G$480,'2025 RESUMEN'!D65)+SUMIFS('FRIL 2025'!$M$3:$M$63,'FRIL 2025'!$G$3:$G$63,'2025 RESUMEN'!$D65)</f>
        <v>197506.872</v>
      </c>
      <c r="M65" s="116">
        <f>SUMIFS('2025 FNDR'!$V$4:$V$499,'2025 FNDR'!$G$4:$G$499,'2025 RESUMEN'!D65)+SUMIFS('FRIL 2025'!$N$3:$N$60,'FRIL 2025'!$G$3:$G$60,'2025 RESUMEN'!$D65)</f>
        <v>34508.357000000004</v>
      </c>
      <c r="N65" s="116">
        <f>SUMIFS('2025 FNDR'!$W$4:$W$470,'2025 FNDR'!$G$4:$G$470,'2025 RESUMEN'!D65)+SUMIFS('FRIL 2025'!$O$3:$O$60,'FRIL 2025'!$G$3:$G$60,'2025 RESUMEN'!$D65)</f>
        <v>5950.8010000000004</v>
      </c>
      <c r="O65" s="116">
        <f>SUMIFS('2025 FNDR'!$X$4:$X$387,'2025 FNDR'!$G$4:$G$387,'2025 RESUMEN'!D65)+SUMIFS('FRIL 2025'!$P$3:$P$32,'FRIL 2025'!$G$3:$G$32,'2025 RESUMEN'!$D65)</f>
        <v>0</v>
      </c>
      <c r="P65" s="116">
        <f>SUMIFS('2025 FNDR'!$Y$4:$Y$356,'2025 FNDR'!$G$4:$G$356,'2025 RESUMEN'!D65)+SUMIFS('FRIL 2025'!$Q$3:$Q$33,'FRIL 2025'!$G$3:$G$33,'2025 RESUMEN'!$D65)</f>
        <v>0</v>
      </c>
      <c r="Q65" s="116">
        <f>SUMIFS('2025 FNDR'!$Z$4:$Z$420,'2025 FNDR'!$G$4:$G$420,'2025 RESUMEN'!D65)+SUMIFS('FRIL 2025'!$R$3:$R$34,'FRIL 2025'!$G$3:$G$34,'2025 RESUMEN'!$D65)</f>
        <v>0</v>
      </c>
      <c r="R65" s="116">
        <f>SUMIFS('2025 FNDR'!$AA$4:$AA$435,'2025 FNDR'!$G$4:$G$435,'2025 RESUMEN'!D65)+SUMIFS('FRIL 2025'!$S$3:$S$36,'FRIL 2025'!$G$3:$G$36,'2025 RESUMEN'!$D65)</f>
        <v>0</v>
      </c>
      <c r="S65" s="116">
        <f>SUMIFS('2025 FNDR'!$AB$5:$AB$447,'2025 FNDR'!$G$5:$G$447,'2025 RESUMEN'!D65)+SUMIFS('FRIL 2025'!$T$3:$T$37,'FRIL 2025'!$G$3:$G$37,'2025 RESUMEN'!D65)</f>
        <v>0</v>
      </c>
      <c r="T65" s="67">
        <f t="shared" si="39"/>
        <v>445633.31199999998</v>
      </c>
      <c r="V65" s="66" t="s">
        <v>82</v>
      </c>
      <c r="W65" s="86">
        <f t="shared" ref="W65:W70" si="40">T65</f>
        <v>445633.31199999998</v>
      </c>
    </row>
    <row r="66" spans="4:23" ht="18" customHeight="1">
      <c r="D66" s="283" t="s">
        <v>83</v>
      </c>
      <c r="E66" s="284">
        <v>2408711</v>
      </c>
      <c r="H66" s="83">
        <f>SUMIFS('2025 FNDR'!$Q$4:$Q$356,'2025 FNDR'!$G$4:$G$356,'2025 RESUMEN'!D66)</f>
        <v>0</v>
      </c>
      <c r="I66" s="83">
        <f>SUMIFS('2025 FNDR'!$R$5:$R$483,'2025 FNDR'!$G$5:$G$483,'2025 RESUMEN'!D66)+SUMIFS('FRIL 2025'!$J$3:$J$61,'FRIL 2025'!$G$3:$G$61,'2025 RESUMEN'!$D66)</f>
        <v>0</v>
      </c>
      <c r="J66" s="83">
        <f>SUMIFS('2025 FNDR'!$S$5:$S$483,'2025 FNDR'!$G$5:$G$483,'2025 RESUMEN'!D66)+SUMIFS('FRIL 2025'!$K$3:$K$61,'FRIL 2025'!$G$3:$G$61,'2025 RESUMEN'!$D66)</f>
        <v>50330.907999999996</v>
      </c>
      <c r="K66" s="83">
        <f>SUMIFS('2025 FNDR'!$T$4:$T$356,'2025 FNDR'!$G$4:$G$356,'2025 RESUMEN'!D66)+SUMIFS('FRIL 2025'!$L$3:$L$63,'FRIL 2025'!$G$3:$G$63,'2025 RESUMEN'!$D66)</f>
        <v>39627</v>
      </c>
      <c r="L66" s="83">
        <f>SUMIFS('2025 FNDR'!$U$4:$U$480,'2025 FNDR'!$G$4:$G$480,'2025 RESUMEN'!D66)+SUMIFS('FRIL 2025'!$M$3:$M$63,'FRIL 2025'!$G$3:$G$63,'2025 RESUMEN'!$D66)</f>
        <v>163727.35399999999</v>
      </c>
      <c r="M66" s="116">
        <f>SUMIFS('2025 FNDR'!$V$4:$V$499,'2025 FNDR'!$G$4:$G$499,'2025 RESUMEN'!D66)+SUMIFS('FRIL 2025'!$N$3:$N$60,'FRIL 2025'!$G$3:$G$60,'2025 RESUMEN'!$D66)</f>
        <v>40631.726999999999</v>
      </c>
      <c r="N66" s="116">
        <f>SUMIFS('2025 FNDR'!$W$4:$W$470,'2025 FNDR'!$G$4:$G$470,'2025 RESUMEN'!D66)+SUMIFS('FRIL 2025'!$O$3:$O$60,'FRIL 2025'!$G$3:$G$60,'2025 RESUMEN'!$D66)</f>
        <v>5400</v>
      </c>
      <c r="O66" s="116">
        <f>SUMIFS('2025 FNDR'!$X$4:$X$387,'2025 FNDR'!$G$4:$G$387,'2025 RESUMEN'!D66)+SUMIFS('FRIL 2025'!$P$3:$P$32,'FRIL 2025'!$G$3:$G$32,'2025 RESUMEN'!$D66)</f>
        <v>0</v>
      </c>
      <c r="P66" s="116">
        <f>SUMIFS('2025 FNDR'!$Y$4:$Y$356,'2025 FNDR'!$G$4:$G$356,'2025 RESUMEN'!D66)+SUMIFS('FRIL 2025'!$Q$3:$Q$33,'FRIL 2025'!$G$3:$G$33,'2025 RESUMEN'!$D66)</f>
        <v>0</v>
      </c>
      <c r="Q66" s="116">
        <f>SUMIFS('2025 FNDR'!$Z$4:$Z$420,'2025 FNDR'!$G$4:$G$420,'2025 RESUMEN'!D66)+SUMIFS('FRIL 2025'!$R$3:$R$34,'FRIL 2025'!$G$3:$G$34,'2025 RESUMEN'!$D66)</f>
        <v>0</v>
      </c>
      <c r="R66" s="116">
        <f>SUMIFS('2025 FNDR'!$AA$4:$AA$435,'2025 FNDR'!$G$4:$G$435,'2025 RESUMEN'!D66)+SUMIFS('FRIL 2025'!$S$3:$S$36,'FRIL 2025'!$G$3:$G$36,'2025 RESUMEN'!$D66)</f>
        <v>0</v>
      </c>
      <c r="S66" s="116">
        <f>SUMIFS('2025 FNDR'!$AB$5:$AB$447,'2025 FNDR'!$G$5:$G$447,'2025 RESUMEN'!D66)+SUMIFS('FRIL 2025'!$T$3:$T$37,'FRIL 2025'!$G$3:$G$37,'2025 RESUMEN'!D66)</f>
        <v>0</v>
      </c>
      <c r="T66" s="67">
        <f t="shared" si="39"/>
        <v>299716.989</v>
      </c>
      <c r="V66" s="66" t="s">
        <v>83</v>
      </c>
      <c r="W66" s="86">
        <f t="shared" si="40"/>
        <v>299716.989</v>
      </c>
    </row>
    <row r="67" spans="4:23" ht="18" customHeight="1">
      <c r="D67" s="283" t="s">
        <v>84</v>
      </c>
      <c r="E67" s="284">
        <v>1110637</v>
      </c>
      <c r="H67" s="83">
        <f>SUMIFS('2025 FNDR'!$Q$4:$Q$356,'2025 FNDR'!$G$4:$G$356,'2025 RESUMEN'!D67)</f>
        <v>0</v>
      </c>
      <c r="I67" s="83">
        <f>SUMIFS('2025 FNDR'!$R$5:$R$483,'2025 FNDR'!$G$5:$G$483,'2025 RESUMEN'!D67)+SUMIFS('FRIL 2025'!$J$3:$J$61,'FRIL 2025'!$G$3:$G$61,'2025 RESUMEN'!$D67)</f>
        <v>356388.43099999998</v>
      </c>
      <c r="J67" s="83">
        <f>SUMIFS('2025 FNDR'!$S$5:$S$483,'2025 FNDR'!$G$5:$G$483,'2025 RESUMEN'!D67)+SUMIFS('FRIL 2025'!$K$3:$K$61,'FRIL 2025'!$G$3:$G$61,'2025 RESUMEN'!$D67)</f>
        <v>22541.794999999998</v>
      </c>
      <c r="K67" s="83">
        <f>SUMIFS('2025 FNDR'!$T$4:$T$356,'2025 FNDR'!$G$4:$G$356,'2025 RESUMEN'!D67)+SUMIFS('FRIL 2025'!$L$3:$L$63,'FRIL 2025'!$G$3:$G$63,'2025 RESUMEN'!$D67)</f>
        <v>265714.69699999999</v>
      </c>
      <c r="L67" s="83">
        <f>SUMIFS('2025 FNDR'!$U$4:$U$480,'2025 FNDR'!$G$4:$G$480,'2025 RESUMEN'!D67)+SUMIFS('FRIL 2025'!$M$3:$M$63,'FRIL 2025'!$G$3:$G$63,'2025 RESUMEN'!$D67)</f>
        <v>293845.70900000003</v>
      </c>
      <c r="M67" s="116">
        <f>SUMIFS('2025 FNDR'!$V$4:$V$499,'2025 FNDR'!$G$4:$G$499,'2025 RESUMEN'!D67)+SUMIFS('FRIL 2025'!$N$3:$N$60,'FRIL 2025'!$G$3:$G$60,'2025 RESUMEN'!$D67)</f>
        <v>401251.30599999998</v>
      </c>
      <c r="N67" s="116">
        <f>SUMIFS('2025 FNDR'!$W$4:$W$470,'2025 FNDR'!$G$4:$G$470,'2025 RESUMEN'!D67)+SUMIFS('FRIL 2025'!$O$3:$O$60,'FRIL 2025'!$G$3:$G$60,'2025 RESUMEN'!$D67)</f>
        <v>118886.86599999999</v>
      </c>
      <c r="O67" s="116">
        <f>SUMIFS('2025 FNDR'!$X$4:$X$387,'2025 FNDR'!$G$4:$G$387,'2025 RESUMEN'!D67)+SUMIFS('FRIL 2025'!$P$3:$P$32,'FRIL 2025'!$G$3:$G$32,'2025 RESUMEN'!$D67)</f>
        <v>0</v>
      </c>
      <c r="P67" s="116">
        <f>SUMIFS('2025 FNDR'!$Y$4:$Y$356,'2025 FNDR'!$G$4:$G$356,'2025 RESUMEN'!D67)+SUMIFS('FRIL 2025'!$Q$3:$Q$33,'FRIL 2025'!$G$3:$G$33,'2025 RESUMEN'!$D67)</f>
        <v>0</v>
      </c>
      <c r="Q67" s="116">
        <f>SUMIFS('2025 FNDR'!$Z$4:$Z$420,'2025 FNDR'!$G$4:$G$420,'2025 RESUMEN'!D67)+SUMIFS('FRIL 2025'!$R$3:$R$34,'FRIL 2025'!$G$3:$G$34,'2025 RESUMEN'!$D67)</f>
        <v>0</v>
      </c>
      <c r="R67" s="116">
        <f>SUMIFS('2025 FNDR'!$AA$4:$AA$435,'2025 FNDR'!$G$4:$G$435,'2025 RESUMEN'!D67)+SUMIFS('FRIL 2025'!$S$3:$S$36,'FRIL 2025'!$G$3:$G$36,'2025 RESUMEN'!$D67)</f>
        <v>0</v>
      </c>
      <c r="S67" s="116">
        <f>SUMIFS('2025 FNDR'!$AB$5:$AB$447,'2025 FNDR'!$G$5:$G$447,'2025 RESUMEN'!D67)+SUMIFS('FRIL 2025'!$T$3:$T$37,'FRIL 2025'!$G$3:$G$37,'2025 RESUMEN'!D67)</f>
        <v>0</v>
      </c>
      <c r="T67" s="67">
        <f t="shared" si="39"/>
        <v>1458628.804</v>
      </c>
      <c r="V67" s="66" t="s">
        <v>84</v>
      </c>
      <c r="W67" s="86">
        <f t="shared" si="40"/>
        <v>1458628.804</v>
      </c>
    </row>
    <row r="68" spans="4:23" ht="18" customHeight="1">
      <c r="D68" s="283" t="s">
        <v>85</v>
      </c>
      <c r="E68" s="284">
        <v>524546</v>
      </c>
      <c r="H68" s="83">
        <f>SUMIFS('2025 FNDR'!$Q$4:$Q$356,'2025 FNDR'!$G$4:$G$356,'2025 RESUMEN'!D68)</f>
        <v>0</v>
      </c>
      <c r="I68" s="83">
        <f>SUMIFS('2025 FNDR'!$R$5:$R$483,'2025 FNDR'!$G$5:$G$483,'2025 RESUMEN'!D68)+SUMIFS('FRIL 2025'!$J$3:$J$61,'FRIL 2025'!$G$3:$G$61,'2025 RESUMEN'!$D68)</f>
        <v>109600.159</v>
      </c>
      <c r="J68" s="83">
        <f>SUMIFS('2025 FNDR'!$S$5:$S$483,'2025 FNDR'!$G$5:$G$483,'2025 RESUMEN'!D68)+SUMIFS('FRIL 2025'!$K$3:$K$61,'FRIL 2025'!$G$3:$G$61,'2025 RESUMEN'!$D68)</f>
        <v>140843.58799999999</v>
      </c>
      <c r="K68" s="83">
        <f>SUMIFS('2025 FNDR'!$T$4:$T$356,'2025 FNDR'!$G$4:$G$356,'2025 RESUMEN'!D68)+SUMIFS('FRIL 2025'!$L$3:$L$63,'FRIL 2025'!$G$3:$G$63,'2025 RESUMEN'!$D68)</f>
        <v>0</v>
      </c>
      <c r="L68" s="83">
        <f>SUMIFS('2025 FNDR'!$U$4:$U$480,'2025 FNDR'!$G$4:$G$480,'2025 RESUMEN'!D68)+SUMIFS('FRIL 2025'!$M$3:$M$63,'FRIL 2025'!$G$3:$G$63,'2025 RESUMEN'!$D68)</f>
        <v>72344.195000000007</v>
      </c>
      <c r="M68" s="116">
        <f>SUMIFS('2025 FNDR'!$V$4:$V$499,'2025 FNDR'!$G$4:$G$499,'2025 RESUMEN'!D68)+SUMIFS('FRIL 2025'!$N$3:$N$60,'FRIL 2025'!$G$3:$G$60,'2025 RESUMEN'!$D68)</f>
        <v>339005.67000000004</v>
      </c>
      <c r="N68" s="116">
        <f>SUMIFS('2025 FNDR'!$W$4:$W$470,'2025 FNDR'!$G$4:$G$470,'2025 RESUMEN'!D68)+SUMIFS('FRIL 2025'!$O$3:$O$60,'FRIL 2025'!$G$3:$G$60,'2025 RESUMEN'!$D68)</f>
        <v>117472.128</v>
      </c>
      <c r="O68" s="116">
        <f>SUMIFS('2025 FNDR'!$X$4:$X$387,'2025 FNDR'!$G$4:$G$387,'2025 RESUMEN'!D68)+SUMIFS('FRIL 2025'!$P$3:$P$32,'FRIL 2025'!$G$3:$G$32,'2025 RESUMEN'!$D68)</f>
        <v>0</v>
      </c>
      <c r="P68" s="116">
        <f>SUMIFS('2025 FNDR'!$Y$4:$Y$356,'2025 FNDR'!$G$4:$G$356,'2025 RESUMEN'!D68)+SUMIFS('FRIL 2025'!$Q$3:$Q$33,'FRIL 2025'!$G$3:$G$33,'2025 RESUMEN'!$D68)</f>
        <v>0</v>
      </c>
      <c r="Q68" s="116">
        <f>SUMIFS('2025 FNDR'!$Z$4:$Z$420,'2025 FNDR'!$G$4:$G$420,'2025 RESUMEN'!D68)+SUMIFS('FRIL 2025'!$R$3:$R$34,'FRIL 2025'!$G$3:$G$34,'2025 RESUMEN'!$D68)</f>
        <v>0</v>
      </c>
      <c r="R68" s="116">
        <f>SUMIFS('2025 FNDR'!$AA$4:$AA$435,'2025 FNDR'!$G$4:$G$435,'2025 RESUMEN'!D68)+SUMIFS('FRIL 2025'!$S$3:$S$36,'FRIL 2025'!$G$3:$G$36,'2025 RESUMEN'!$D68)</f>
        <v>0</v>
      </c>
      <c r="S68" s="116">
        <f>SUMIFS('2025 FNDR'!$AB$5:$AB$447,'2025 FNDR'!$G$5:$G$447,'2025 RESUMEN'!D68)+SUMIFS('FRIL 2025'!$T$3:$T$37,'FRIL 2025'!$G$3:$G$37,'2025 RESUMEN'!D68)</f>
        <v>0</v>
      </c>
      <c r="T68" s="67">
        <f t="shared" si="39"/>
        <v>779265.74</v>
      </c>
      <c r="V68" s="66" t="s">
        <v>85</v>
      </c>
      <c r="W68" s="86">
        <f t="shared" si="40"/>
        <v>779265.74</v>
      </c>
    </row>
    <row r="69" spans="4:23" ht="18" customHeight="1">
      <c r="D69" s="283" t="s">
        <v>86</v>
      </c>
      <c r="E69" s="284">
        <v>871616</v>
      </c>
      <c r="H69" s="83">
        <f>SUMIFS('2025 FNDR'!$Q$4:$Q$356,'2025 FNDR'!$G$4:$G$356,'2025 RESUMEN'!D69)</f>
        <v>0</v>
      </c>
      <c r="I69" s="83">
        <f>SUMIFS('2025 FNDR'!$R$5:$R$483,'2025 FNDR'!$G$5:$G$483,'2025 RESUMEN'!D69)+SUMIFS('FRIL 2025'!$J$3:$J$61,'FRIL 2025'!$G$3:$G$61,'2025 RESUMEN'!$D69)</f>
        <v>205100.166</v>
      </c>
      <c r="J69" s="83">
        <f>SUMIFS('2025 FNDR'!$S$5:$S$483,'2025 FNDR'!$G$5:$G$483,'2025 RESUMEN'!D69)+SUMIFS('FRIL 2025'!$K$3:$K$61,'FRIL 2025'!$G$3:$G$61,'2025 RESUMEN'!$D69)</f>
        <v>0</v>
      </c>
      <c r="K69" s="83">
        <f>SUMIFS('2025 FNDR'!$T$4:$T$356,'2025 FNDR'!$G$4:$G$356,'2025 RESUMEN'!D69)+SUMIFS('FRIL 2025'!$L$3:$L$63,'FRIL 2025'!$G$3:$G$63,'2025 RESUMEN'!$D69)</f>
        <v>18123.791000000001</v>
      </c>
      <c r="L69" s="83">
        <f>SUMIFS('2025 FNDR'!$U$4:$U$480,'2025 FNDR'!$G$4:$G$480,'2025 RESUMEN'!D69)+SUMIFS('FRIL 2025'!$M$3:$M$63,'FRIL 2025'!$G$3:$G$63,'2025 RESUMEN'!$D69)</f>
        <v>98346.373000000007</v>
      </c>
      <c r="M69" s="116">
        <f>SUMIFS('2025 FNDR'!$V$4:$V$499,'2025 FNDR'!$G$4:$G$499,'2025 RESUMEN'!D69)+SUMIFS('FRIL 2025'!$N$3:$N$60,'FRIL 2025'!$G$3:$G$60,'2025 RESUMEN'!$D69)</f>
        <v>11944.84</v>
      </c>
      <c r="N69" s="116">
        <f>SUMIFS('2025 FNDR'!$W$4:$W$470,'2025 FNDR'!$G$4:$G$470,'2025 RESUMEN'!D69)+SUMIFS('FRIL 2025'!$O$3:$O$60,'FRIL 2025'!$G$3:$G$60,'2025 RESUMEN'!$D69)</f>
        <v>53755.43</v>
      </c>
      <c r="O69" s="116">
        <f>SUMIFS('2025 FNDR'!$X$4:$X$387,'2025 FNDR'!$G$4:$G$387,'2025 RESUMEN'!D69)+SUMIFS('FRIL 2025'!$P$3:$P$32,'FRIL 2025'!$G$3:$G$32,'2025 RESUMEN'!$D69)</f>
        <v>0</v>
      </c>
      <c r="P69" s="116">
        <f>SUMIFS('2025 FNDR'!$Y$4:$Y$356,'2025 FNDR'!$G$4:$G$356,'2025 RESUMEN'!D69)+SUMIFS('FRIL 2025'!$Q$3:$Q$33,'FRIL 2025'!$G$3:$G$33,'2025 RESUMEN'!$D69)</f>
        <v>0</v>
      </c>
      <c r="Q69" s="116">
        <f>SUMIFS('2025 FNDR'!$Z$4:$Z$420,'2025 FNDR'!$G$4:$G$420,'2025 RESUMEN'!D69)+SUMIFS('FRIL 2025'!$R$3:$R$34,'FRIL 2025'!$G$3:$G$34,'2025 RESUMEN'!$D69)</f>
        <v>0</v>
      </c>
      <c r="R69" s="116">
        <f>SUMIFS('2025 FNDR'!$AA$4:$AA$435,'2025 FNDR'!$G$4:$G$435,'2025 RESUMEN'!D69)+SUMIFS('FRIL 2025'!$S$3:$S$36,'FRIL 2025'!$G$3:$G$36,'2025 RESUMEN'!$D69)</f>
        <v>0</v>
      </c>
      <c r="S69" s="116">
        <f>SUMIFS('2025 FNDR'!$AB$5:$AB$447,'2025 FNDR'!$G$5:$G$447,'2025 RESUMEN'!D69)+SUMIFS('FRIL 2025'!$T$3:$T$37,'FRIL 2025'!$G$3:$G$37,'2025 RESUMEN'!D69)</f>
        <v>0</v>
      </c>
      <c r="T69" s="67">
        <f t="shared" si="39"/>
        <v>387270.60000000003</v>
      </c>
      <c r="V69" s="66" t="s">
        <v>86</v>
      </c>
      <c r="W69" s="86">
        <f t="shared" si="40"/>
        <v>387270.60000000003</v>
      </c>
    </row>
    <row r="70" spans="4:23" ht="18" customHeight="1">
      <c r="D70" s="283" t="s">
        <v>87</v>
      </c>
      <c r="E70" s="285">
        <v>0</v>
      </c>
      <c r="H70" s="83">
        <f>SUMIFS('2025 FNDR'!$Q$4:$Q$356,'2025 FNDR'!$G$4:$G$356,'2025 RESUMEN'!D70)</f>
        <v>0</v>
      </c>
      <c r="I70" s="83">
        <f>SUMIFS('2025 FNDR'!$R$5:$R$483,'2025 FNDR'!$G$5:$G$483,'2025 RESUMEN'!D70)+SUMIFS('FRIL 2025'!$J$3:$J$61,'FRIL 2025'!$G$3:$G$61,'2025 RESUMEN'!$D70)</f>
        <v>0</v>
      </c>
      <c r="J70" s="83">
        <f>SUMIFS('2025 FNDR'!$S$5:$S$483,'2025 FNDR'!$G$5:$G$483,'2025 RESUMEN'!D70)+SUMIFS('FRIL 2025'!$K$3:$K$61,'FRIL 2025'!$G$3:$G$61,'2025 RESUMEN'!$D70)</f>
        <v>0</v>
      </c>
      <c r="K70" s="83">
        <f>SUMIFS('2025 FNDR'!$T$4:$T$356,'2025 FNDR'!$G$4:$G$356,'2025 RESUMEN'!D70)+SUMIFS('FRIL 2025'!$L$3:$L$63,'FRIL 2025'!$G$3:$G$63,'2025 RESUMEN'!$D70)</f>
        <v>0</v>
      </c>
      <c r="L70" s="83">
        <f>SUMIFS('2025 FNDR'!$U$4:$U$480,'2025 FNDR'!$G$4:$G$480,'2025 RESUMEN'!D70)+SUMIFS('FRIL 2025'!$M$3:$M$63,'FRIL 2025'!$G$3:$G$63,'2025 RESUMEN'!$D70)</f>
        <v>0</v>
      </c>
      <c r="M70" s="116">
        <f>SUMIFS('2025 FNDR'!$V$4:$V$499,'2025 FNDR'!$G$4:$G$499,'2025 RESUMEN'!D70)+SUMIFS('FRIL 2025'!$N$3:$N$60,'FRIL 2025'!$G$3:$G$60,'2025 RESUMEN'!$D70)</f>
        <v>0</v>
      </c>
      <c r="N70" s="116">
        <f>SUMIFS('2025 FNDR'!$W$4:$W$470,'2025 FNDR'!$G$4:$G$470,'2025 RESUMEN'!D70)+SUMIFS('FRIL 2025'!$O$3:$O$60,'FRIL 2025'!$G$3:$G$60,'2025 RESUMEN'!$D70)</f>
        <v>0</v>
      </c>
      <c r="O70" s="116">
        <f>SUMIFS('2025 FNDR'!$X$4:$X$387,'2025 FNDR'!$G$4:$G$387,'2025 RESUMEN'!D70)+SUMIFS('FRIL 2025'!$P$3:$P$32,'FRIL 2025'!$G$3:$G$32,'2025 RESUMEN'!$D70)</f>
        <v>0</v>
      </c>
      <c r="P70" s="116">
        <f>SUMIFS('2025 FNDR'!$Y$4:$Y$356,'2025 FNDR'!$G$4:$G$356,'2025 RESUMEN'!D70)+SUMIFS('FRIL 2025'!$Q$3:$Q$33,'FRIL 2025'!$G$3:$G$33,'2025 RESUMEN'!$D70)</f>
        <v>0</v>
      </c>
      <c r="Q70" s="116">
        <f>SUMIFS('2025 FNDR'!$Z$4:$Z$420,'2025 FNDR'!$G$4:$G$420,'2025 RESUMEN'!D70)+SUMIFS('FRIL 2025'!$R$3:$R$34,'FRIL 2025'!$G$3:$G$34,'2025 RESUMEN'!$D70)</f>
        <v>0</v>
      </c>
      <c r="R70" s="116">
        <f>SUMIFS('2025 FNDR'!$AA$4:$AA$435,'2025 FNDR'!$G$4:$G$435,'2025 RESUMEN'!D70)+SUMIFS('FRIL 2025'!$S$3:$S$36,'FRIL 2025'!$G$3:$G$36,'2025 RESUMEN'!$D70)</f>
        <v>0</v>
      </c>
      <c r="S70" s="116">
        <f>SUMIFS('2025 FNDR'!$AB$5:$AB$447,'2025 FNDR'!$G$5:$G$447,'2025 RESUMEN'!D70)+SUMIFS('FRIL 2025'!$T$3:$T$37,'FRIL 2025'!$G$3:$G$37,'2025 RESUMEN'!D70)</f>
        <v>0</v>
      </c>
      <c r="T70" s="67">
        <f t="shared" si="39"/>
        <v>0</v>
      </c>
      <c r="V70" s="66" t="s">
        <v>87</v>
      </c>
      <c r="W70" s="86">
        <f t="shared" si="40"/>
        <v>0</v>
      </c>
    </row>
    <row r="71" spans="4:23" ht="18" customHeight="1">
      <c r="D71" s="286" t="s">
        <v>88</v>
      </c>
      <c r="E71" s="287">
        <v>5934134</v>
      </c>
      <c r="G71" s="68"/>
      <c r="H71" s="75">
        <f>SUM(H64:H70)</f>
        <v>0</v>
      </c>
      <c r="I71" s="75">
        <f t="shared" ref="I71:P71" si="41">SUM(I64:I70)</f>
        <v>755623.201</v>
      </c>
      <c r="J71" s="75">
        <f t="shared" si="41"/>
        <v>230139.64399999997</v>
      </c>
      <c r="K71" s="75">
        <f t="shared" si="41"/>
        <v>559618.47799999989</v>
      </c>
      <c r="L71" s="75">
        <f t="shared" si="41"/>
        <v>825770.50300000014</v>
      </c>
      <c r="M71" s="75">
        <f t="shared" si="41"/>
        <v>967338.02899999998</v>
      </c>
      <c r="N71" s="75">
        <f t="shared" si="41"/>
        <v>371881.52400000003</v>
      </c>
      <c r="O71" s="75">
        <f t="shared" si="41"/>
        <v>0</v>
      </c>
      <c r="P71" s="75">
        <f t="shared" si="41"/>
        <v>0</v>
      </c>
      <c r="Q71" s="75">
        <f>SUM(Q64:Q70)</f>
        <v>0</v>
      </c>
      <c r="R71" s="75">
        <f>SUM(R64:R70)</f>
        <v>0</v>
      </c>
      <c r="S71" s="75">
        <f>SUM(S64:S70)</f>
        <v>0</v>
      </c>
      <c r="T71" s="75">
        <f>SUM(T64:T70)</f>
        <v>3710371.3790000002</v>
      </c>
      <c r="V71" s="73" t="s">
        <v>88</v>
      </c>
      <c r="W71" s="74">
        <f>SUM(W64:W70)</f>
        <v>3710371.3790000002</v>
      </c>
    </row>
    <row r="72" spans="4:23" ht="18" customHeight="1">
      <c r="D72" s="283" t="s">
        <v>89</v>
      </c>
      <c r="E72" s="288">
        <v>2413215</v>
      </c>
      <c r="H72" s="84">
        <f>SUMIFS('2025 FNDR'!$Q$4:$Q$356,'2025 FNDR'!$G$4:$G$356,'2025 RESUMEN'!D72)</f>
        <v>0</v>
      </c>
      <c r="I72" s="84">
        <f>SUMIFS('2025 FNDR'!$R$5:$R$483,'2025 FNDR'!$G$5:$G$483,'2025 RESUMEN'!D72)+SUMIFS('FRIL 2025'!$J$3:$J$61,'FRIL 2025'!$G$3:$G$61,'2025 RESUMEN'!$D72)</f>
        <v>46784.678999999996</v>
      </c>
      <c r="J72" s="84">
        <f>SUMIFS('2025 FNDR'!$S$4:$S$403,'2025 FNDR'!$G$4:$G$403,'2025 RESUMEN'!D72)+SUMIFS('FRIL 2025'!$K$3:$K$63,'FRIL 2025'!$G$3:$G$63,'2025 RESUMEN'!$D72)</f>
        <v>286899.42</v>
      </c>
      <c r="K72" s="84">
        <f>SUMIFS('2025 FNDR'!$T$4:$T$356,'2025 FNDR'!$G$4:$G$356,'2025 RESUMEN'!D72)+SUMIFS('FRIL 2025'!$L$3:$L$63,'FRIL 2025'!$G$3:$G$63,'2025 RESUMEN'!$D72)</f>
        <v>274353.65300000005</v>
      </c>
      <c r="L72" s="84">
        <f>SUMIFS('2025 FNDR'!$U$4:$U$480,'2025 FNDR'!$G$4:$G$480,'2025 RESUMEN'!D72)+SUMIFS('FRIL 2025'!$M$3:$M$63,'FRIL 2025'!$G$3:$G$63,'2025 RESUMEN'!$D72)</f>
        <v>172638.43900000001</v>
      </c>
      <c r="M72" s="117">
        <f>SUMIFS('2025 FNDR'!$V$4:$V$499,'2025 FNDR'!$G$4:$G$499,'2025 RESUMEN'!D72)+SUMIFS('FRIL 2025'!$N$3:$N$60,'FRIL 2025'!$G$3:$G$60,'2025 RESUMEN'!$D72)</f>
        <v>284711.65000000002</v>
      </c>
      <c r="N72" s="117">
        <f>SUMIFS('2025 FNDR'!$W$4:$W$470,'2025 FNDR'!$G$4:$G$470,'2025 RESUMEN'!D72)+SUMIFS('FRIL 2025'!$O$3:$O$60,'FRIL 2025'!$G$3:$G$60,'2025 RESUMEN'!$D72)</f>
        <v>116649.534</v>
      </c>
      <c r="O72" s="117">
        <f>SUMIFS('2025 FNDR'!$X$4:$X$387,'2025 FNDR'!$G$4:$G$387,'2025 RESUMEN'!D72)+SUMIFS('FRIL 2025'!$P$3:$P$32,'FRIL 2025'!$G$3:$G$32,'2025 RESUMEN'!$D72)</f>
        <v>0</v>
      </c>
      <c r="P72" s="117">
        <f>SUMIFS('2025 FNDR'!$Y$4:$Y$356,'2025 FNDR'!$G$4:$G$356,'2025 RESUMEN'!D72)+SUMIFS('FRIL 2025'!$Q$3:$Q$33,'FRIL 2025'!$G$3:$G$33,'2025 RESUMEN'!$D72)</f>
        <v>0</v>
      </c>
      <c r="Q72" s="117">
        <f>SUMIFS('2025 FNDR'!$Z$4:$Z$420,'2025 FNDR'!$G$4:$G$420,'2025 RESUMEN'!D72)+SUMIFS('FRIL 2025'!$R$3:$R$34,'FRIL 2025'!$G$3:$G$34,'2025 RESUMEN'!$D72)</f>
        <v>0</v>
      </c>
      <c r="R72" s="117">
        <f>SUMIFS('2025 FNDR'!$AA$4:$AA$435,'2025 FNDR'!$G$4:$G$435,'2025 RESUMEN'!D72)+SUMIFS('FRIL 2025'!$S$3:$S$36,'FRIL 2025'!$G$3:$G$36,'2025 RESUMEN'!$D72)</f>
        <v>0</v>
      </c>
      <c r="S72" s="117">
        <f>SUMIFS('2025 FNDR'!$AB$5:$AB$447,'2025 FNDR'!$G$5:$G$447,'2025 RESUMEN'!D72)+SUMIFS('FRIL 2025'!$T$3:$T$37,'FRIL 2025'!$G$3:$G$37,'2025 RESUMEN'!D72)</f>
        <v>0</v>
      </c>
      <c r="T72" s="67">
        <f t="shared" ref="T72:T77" si="42">SUMIFS(H72:S72,$H$62:$S$62,"ejecutado")</f>
        <v>1182037.375</v>
      </c>
      <c r="V72" s="66" t="s">
        <v>89</v>
      </c>
      <c r="W72" s="87">
        <f>T72</f>
        <v>1182037.375</v>
      </c>
    </row>
    <row r="73" spans="4:23" ht="18" customHeight="1">
      <c r="D73" s="283" t="s">
        <v>90</v>
      </c>
      <c r="E73" s="288">
        <v>4475389</v>
      </c>
      <c r="H73" s="84">
        <f>SUMIFS('2025 FNDR'!$Q$4:$Q$356,'2025 FNDR'!$G$4:$G$356,'2025 RESUMEN'!D73)</f>
        <v>0</v>
      </c>
      <c r="I73" s="84">
        <f>SUMIFS('2025 FNDR'!$R$5:$R$483,'2025 FNDR'!$G$5:$G$483,'2025 RESUMEN'!D73)+SUMIFS('FRIL 2025'!$J$3:$J$61,'FRIL 2025'!$G$3:$G$61,'2025 RESUMEN'!$D73)</f>
        <v>9457.5</v>
      </c>
      <c r="J73" s="84">
        <f>SUMIFS('2025 FNDR'!$S$4:$S$403,'2025 FNDR'!$G$4:$G$403,'2025 RESUMEN'!D73)+SUMIFS('FRIL 2025'!$K$3:$K$63,'FRIL 2025'!$G$3:$G$63,'2025 RESUMEN'!$D73)</f>
        <v>879319.772</v>
      </c>
      <c r="K73" s="84">
        <f>SUMIFS('2025 FNDR'!$T$4:$T$356,'2025 FNDR'!$G$4:$G$356,'2025 RESUMEN'!D73)+SUMIFS('FRIL 2025'!$L$3:$L$63,'FRIL 2025'!$G$3:$G$63,'2025 RESUMEN'!$D73)</f>
        <v>606221.29300000006</v>
      </c>
      <c r="L73" s="84">
        <f>SUMIFS('2025 FNDR'!$U$4:$U$480,'2025 FNDR'!$G$4:$G$480,'2025 RESUMEN'!D73)+SUMIFS('FRIL 2025'!$M$3:$M$63,'FRIL 2025'!$G$3:$G$63,'2025 RESUMEN'!$D73)</f>
        <v>235952.49100000004</v>
      </c>
      <c r="M73" s="117">
        <f>SUMIFS('2025 FNDR'!$V$4:$V$499,'2025 FNDR'!$G$4:$G$499,'2025 RESUMEN'!D73)+SUMIFS('FRIL 2025'!$N$3:$N$60,'FRIL 2025'!$G$3:$G$60,'2025 RESUMEN'!$D73)</f>
        <v>165213.435</v>
      </c>
      <c r="N73" s="117">
        <f>SUMIFS('2025 FNDR'!$W$4:$W$470,'2025 FNDR'!$G$4:$G$470,'2025 RESUMEN'!D73)+SUMIFS('FRIL 2025'!$O$3:$O$60,'FRIL 2025'!$G$3:$G$60,'2025 RESUMEN'!$D73)</f>
        <v>226233.33000000002</v>
      </c>
      <c r="O73" s="117">
        <f>SUMIFS('2025 FNDR'!$X$4:$X$387,'2025 FNDR'!$G$4:$G$387,'2025 RESUMEN'!D73)+SUMIFS('FRIL 2025'!$P$3:$P$32,'FRIL 2025'!$G$3:$G$32,'2025 RESUMEN'!$D73)</f>
        <v>0</v>
      </c>
      <c r="P73" s="117">
        <f>SUMIFS('2025 FNDR'!$Y$4:$Y$356,'2025 FNDR'!$G$4:$G$356,'2025 RESUMEN'!D73)+SUMIFS('FRIL 2025'!$Q$3:$Q$33,'FRIL 2025'!$G$3:$G$33,'2025 RESUMEN'!$D73)</f>
        <v>0</v>
      </c>
      <c r="Q73" s="117">
        <f>SUMIFS('2025 FNDR'!$Z$4:$Z$420,'2025 FNDR'!$G$4:$G$420,'2025 RESUMEN'!D73)+SUMIFS('FRIL 2025'!$R$3:$R$34,'FRIL 2025'!$G$3:$G$34,'2025 RESUMEN'!$D73)</f>
        <v>0</v>
      </c>
      <c r="R73" s="117">
        <f>SUMIFS('2025 FNDR'!$AA$4:$AA$435,'2025 FNDR'!$G$4:$G$435,'2025 RESUMEN'!D73)+SUMIFS('FRIL 2025'!$S$3:$S$36,'FRIL 2025'!$G$3:$G$36,'2025 RESUMEN'!$D73)</f>
        <v>0</v>
      </c>
      <c r="S73" s="117">
        <f>SUMIFS('2025 FNDR'!$AB$5:$AB$447,'2025 FNDR'!$G$5:$G$447,'2025 RESUMEN'!D73)+SUMIFS('FRIL 2025'!$T$3:$T$37,'FRIL 2025'!$G$3:$G$37,'2025 RESUMEN'!D73)</f>
        <v>0</v>
      </c>
      <c r="T73" s="67">
        <f t="shared" si="42"/>
        <v>2122397.821</v>
      </c>
      <c r="V73" s="66" t="s">
        <v>90</v>
      </c>
      <c r="W73" s="87">
        <f t="shared" ref="W73:W77" si="43">T73</f>
        <v>2122397.821</v>
      </c>
    </row>
    <row r="74" spans="4:23" ht="18" customHeight="1">
      <c r="D74" s="283" t="s">
        <v>91</v>
      </c>
      <c r="E74" s="288">
        <v>2775942</v>
      </c>
      <c r="H74" s="84">
        <f>SUMIFS('2025 FNDR'!$Q$4:$Q$356,'2025 FNDR'!$G$4:$G$356,'2025 RESUMEN'!D74)</f>
        <v>0</v>
      </c>
      <c r="I74" s="84">
        <f>SUMIFS('2025 FNDR'!$R$5:$R$483,'2025 FNDR'!$G$5:$G$483,'2025 RESUMEN'!D74)+SUMIFS('FRIL 2025'!$J$3:$J$61,'FRIL 2025'!$G$3:$G$61,'2025 RESUMEN'!$D74)</f>
        <v>255899.02</v>
      </c>
      <c r="J74" s="84">
        <f>SUMIFS('2025 FNDR'!$S$4:$S$403,'2025 FNDR'!$G$4:$G$403,'2025 RESUMEN'!D74)+SUMIFS('FRIL 2025'!$K$3:$K$63,'FRIL 2025'!$G$3:$G$63,'2025 RESUMEN'!$D74)</f>
        <v>902788.85600000003</v>
      </c>
      <c r="K74" s="84">
        <f>SUMIFS('2025 FNDR'!$T$4:$T$356,'2025 FNDR'!$G$4:$G$356,'2025 RESUMEN'!D74)+SUMIFS('FRIL 2025'!$L$3:$L$63,'FRIL 2025'!$G$3:$G$63,'2025 RESUMEN'!$D74)</f>
        <v>173128.11600000001</v>
      </c>
      <c r="L74" s="84">
        <f>SUMIFS('2025 FNDR'!$U$4:$U$480,'2025 FNDR'!$G$4:$G$480,'2025 RESUMEN'!D74)+SUMIFS('FRIL 2025'!$M$3:$M$63,'FRIL 2025'!$G$3:$G$63,'2025 RESUMEN'!$D74)</f>
        <v>300210.45300000004</v>
      </c>
      <c r="M74" s="117">
        <f>SUMIFS('2025 FNDR'!$V$4:$V$499,'2025 FNDR'!$G$4:$G$499,'2025 RESUMEN'!D74)+SUMIFS('FRIL 2025'!$N$3:$N$60,'FRIL 2025'!$G$3:$G$60,'2025 RESUMEN'!$D74)</f>
        <v>5033.9939999999997</v>
      </c>
      <c r="N74" s="117">
        <f>SUMIFS('2025 FNDR'!$W$4:$W$470,'2025 FNDR'!$G$4:$G$470,'2025 RESUMEN'!D74)+SUMIFS('FRIL 2025'!$O$3:$O$60,'FRIL 2025'!$G$3:$G$60,'2025 RESUMEN'!$D74)</f>
        <v>136879.261</v>
      </c>
      <c r="O74" s="117">
        <f>SUMIFS('2025 FNDR'!$X$4:$X$387,'2025 FNDR'!$G$4:$G$387,'2025 RESUMEN'!D74)+SUMIFS('FRIL 2025'!$P$3:$P$32,'FRIL 2025'!$G$3:$G$32,'2025 RESUMEN'!$D74)</f>
        <v>0</v>
      </c>
      <c r="P74" s="117">
        <f>SUMIFS('2025 FNDR'!$Y$4:$Y$356,'2025 FNDR'!$G$4:$G$356,'2025 RESUMEN'!D74)+SUMIFS('FRIL 2025'!$Q$3:$Q$33,'FRIL 2025'!$G$3:$G$33,'2025 RESUMEN'!$D74)</f>
        <v>0</v>
      </c>
      <c r="Q74" s="117">
        <f>SUMIFS('2025 FNDR'!$Z$4:$Z$420,'2025 FNDR'!$G$4:$G$420,'2025 RESUMEN'!D74)+SUMIFS('FRIL 2025'!$R$3:$R$34,'FRIL 2025'!$G$3:$G$34,'2025 RESUMEN'!$D74)</f>
        <v>0</v>
      </c>
      <c r="R74" s="117">
        <f>SUMIFS('2025 FNDR'!$AA$4:$AA$435,'2025 FNDR'!$G$4:$G$435,'2025 RESUMEN'!D74)+SUMIFS('FRIL 2025'!$S$3:$S$36,'FRIL 2025'!$G$3:$G$36,'2025 RESUMEN'!$D74)</f>
        <v>0</v>
      </c>
      <c r="S74" s="117">
        <f>SUMIFS('2025 FNDR'!$AB$5:$AB$447,'2025 FNDR'!$G$5:$G$447,'2025 RESUMEN'!D74)+SUMIFS('FRIL 2025'!$T$3:$T$37,'FRIL 2025'!$G$3:$G$37,'2025 RESUMEN'!D74)</f>
        <v>0</v>
      </c>
      <c r="T74" s="67">
        <f t="shared" si="42"/>
        <v>1773939.6999999997</v>
      </c>
      <c r="V74" s="66" t="s">
        <v>91</v>
      </c>
      <c r="W74" s="87">
        <f t="shared" si="43"/>
        <v>1773939.6999999997</v>
      </c>
    </row>
    <row r="75" spans="4:23" ht="18" customHeight="1">
      <c r="D75" s="283" t="s">
        <v>92</v>
      </c>
      <c r="E75" s="288">
        <v>701015</v>
      </c>
      <c r="H75" s="84">
        <f>SUMIFS('2025 FNDR'!$Q$4:$Q$356,'2025 FNDR'!$G$4:$G$356,'2025 RESUMEN'!D75)</f>
        <v>0</v>
      </c>
      <c r="I75" s="84">
        <f>SUMIFS('2025 FNDR'!$R$5:$R$483,'2025 FNDR'!$G$5:$G$483,'2025 RESUMEN'!D75)+SUMIFS('FRIL 2025'!$J$3:$J$61,'FRIL 2025'!$G$3:$G$61,'2025 RESUMEN'!$D75)</f>
        <v>148729.62599999999</v>
      </c>
      <c r="J75" s="84">
        <f>SUMIFS('2025 FNDR'!$S$4:$S$403,'2025 FNDR'!$G$4:$G$403,'2025 RESUMEN'!D75)+SUMIFS('FRIL 2025'!$K$3:$K$63,'FRIL 2025'!$G$3:$G$63,'2025 RESUMEN'!$D75)</f>
        <v>53554.123</v>
      </c>
      <c r="K75" s="84">
        <f>SUMIFS('2025 FNDR'!$T$4:$T$356,'2025 FNDR'!$G$4:$G$356,'2025 RESUMEN'!D75)+SUMIFS('FRIL 2025'!$L$3:$L$63,'FRIL 2025'!$G$3:$G$63,'2025 RESUMEN'!$D75)</f>
        <v>80686.804000000004</v>
      </c>
      <c r="L75" s="84">
        <f>SUMIFS('2025 FNDR'!$U$4:$U$480,'2025 FNDR'!$G$4:$G$480,'2025 RESUMEN'!D75)+SUMIFS('FRIL 2025'!$M$3:$M$63,'FRIL 2025'!$G$3:$G$63,'2025 RESUMEN'!$D75)</f>
        <v>454808.56500000006</v>
      </c>
      <c r="M75" s="117">
        <f>SUMIFS('2025 FNDR'!$V$4:$V$499,'2025 FNDR'!$G$4:$G$499,'2025 RESUMEN'!D75)+SUMIFS('FRIL 2025'!$N$3:$N$60,'FRIL 2025'!$G$3:$G$60,'2025 RESUMEN'!$D75)</f>
        <v>0</v>
      </c>
      <c r="N75" s="117">
        <f>SUMIFS('2025 FNDR'!$W$4:$W$470,'2025 FNDR'!$G$4:$G$470,'2025 RESUMEN'!D75)+SUMIFS('FRIL 2025'!$O$3:$O$60,'FRIL 2025'!$G$3:$G$60,'2025 RESUMEN'!$D75)</f>
        <v>18068.781999999999</v>
      </c>
      <c r="O75" s="117">
        <f>SUMIFS('2025 FNDR'!$X$4:$X$387,'2025 FNDR'!$G$4:$G$387,'2025 RESUMEN'!D75)+SUMIFS('FRIL 2025'!$P$3:$P$32,'FRIL 2025'!$G$3:$G$32,'2025 RESUMEN'!$D75)</f>
        <v>0</v>
      </c>
      <c r="P75" s="117">
        <f>SUMIFS('2025 FNDR'!$Y$4:$Y$356,'2025 FNDR'!$G$4:$G$356,'2025 RESUMEN'!D75)+SUMIFS('FRIL 2025'!$Q$3:$Q$33,'FRIL 2025'!$G$3:$G$33,'2025 RESUMEN'!$D75)</f>
        <v>0</v>
      </c>
      <c r="Q75" s="117">
        <f>SUMIFS('2025 FNDR'!$Z$4:$Z$420,'2025 FNDR'!$G$4:$G$420,'2025 RESUMEN'!D75)+SUMIFS('FRIL 2025'!$R$3:$R$34,'FRIL 2025'!$G$3:$G$34,'2025 RESUMEN'!$D75)</f>
        <v>0</v>
      </c>
      <c r="R75" s="117">
        <f>SUMIFS('2025 FNDR'!$AA$4:$AA$435,'2025 FNDR'!$G$4:$G$435,'2025 RESUMEN'!D75)+SUMIFS('FRIL 2025'!$S$3:$S$36,'FRIL 2025'!$G$3:$G$36,'2025 RESUMEN'!$D75)</f>
        <v>0</v>
      </c>
      <c r="S75" s="117">
        <f>SUMIFS('2025 FNDR'!$AB$5:$AB$447,'2025 FNDR'!$G$5:$G$447,'2025 RESUMEN'!D75)+SUMIFS('FRIL 2025'!$T$3:$T$37,'FRIL 2025'!$G$3:$G$37,'2025 RESUMEN'!D75)</f>
        <v>0</v>
      </c>
      <c r="T75" s="67">
        <f t="shared" si="42"/>
        <v>755847.9</v>
      </c>
      <c r="V75" s="66" t="s">
        <v>92</v>
      </c>
      <c r="W75" s="87">
        <f t="shared" si="43"/>
        <v>755847.9</v>
      </c>
    </row>
    <row r="76" spans="4:23" ht="18" customHeight="1">
      <c r="D76" s="283" t="s">
        <v>93</v>
      </c>
      <c r="E76" s="288">
        <v>618118</v>
      </c>
      <c r="H76" s="84">
        <f>SUMIFS('2025 FNDR'!$Q$4:$Q$356,'2025 FNDR'!$G$4:$G$356,'2025 RESUMEN'!D76)</f>
        <v>0</v>
      </c>
      <c r="I76" s="84">
        <f>SUMIFS('2025 FNDR'!$R$5:$R$483,'2025 FNDR'!$G$5:$G$483,'2025 RESUMEN'!D76)+SUMIFS('FRIL 2025'!$J$3:$J$61,'FRIL 2025'!$G$3:$G$61,'2025 RESUMEN'!$D76)</f>
        <v>93262.259000000005</v>
      </c>
      <c r="J76" s="84">
        <f>SUMIFS('2025 FNDR'!$S$4:$S$403,'2025 FNDR'!$G$4:$G$403,'2025 RESUMEN'!D76)+SUMIFS('FRIL 2025'!$K$3:$K$63,'FRIL 2025'!$G$3:$G$63,'2025 RESUMEN'!$D76)</f>
        <v>51245.008999999998</v>
      </c>
      <c r="K76" s="84">
        <f>SUMIFS('2025 FNDR'!$T$4:$T$356,'2025 FNDR'!$G$4:$G$356,'2025 RESUMEN'!D76)+SUMIFS('FRIL 2025'!$L$3:$L$63,'FRIL 2025'!$G$3:$G$63,'2025 RESUMEN'!$D76)</f>
        <v>183540.242</v>
      </c>
      <c r="L76" s="84">
        <f>SUMIFS('2025 FNDR'!$U$4:$U$480,'2025 FNDR'!$G$4:$G$480,'2025 RESUMEN'!D76)+SUMIFS('FRIL 2025'!$M$3:$M$63,'FRIL 2025'!$G$3:$G$63,'2025 RESUMEN'!$D76)</f>
        <v>157898.44700000001</v>
      </c>
      <c r="M76" s="117">
        <f>SUMIFS('2025 FNDR'!$V$4:$V$499,'2025 FNDR'!$G$4:$G$499,'2025 RESUMEN'!D76)+SUMIFS('FRIL 2025'!$N$3:$N$60,'FRIL 2025'!$G$3:$G$60,'2025 RESUMEN'!$D76)</f>
        <v>10579.486000000001</v>
      </c>
      <c r="N76" s="117">
        <f>SUMIFS('2025 FNDR'!$W$4:$W$470,'2025 FNDR'!$G$4:$G$470,'2025 RESUMEN'!D76)+SUMIFS('FRIL 2025'!$O$3:$O$60,'FRIL 2025'!$G$3:$G$60,'2025 RESUMEN'!$D76)</f>
        <v>172971.66199999998</v>
      </c>
      <c r="O76" s="117">
        <f>SUMIFS('2025 FNDR'!$X$4:$X$387,'2025 FNDR'!$G$4:$G$387,'2025 RESUMEN'!D76)+SUMIFS('FRIL 2025'!$P$3:$P$32,'FRIL 2025'!$G$3:$G$32,'2025 RESUMEN'!$D76)</f>
        <v>0</v>
      </c>
      <c r="P76" s="117">
        <f>SUMIFS('2025 FNDR'!$Y$4:$Y$356,'2025 FNDR'!$G$4:$G$356,'2025 RESUMEN'!D76)+SUMIFS('FRIL 2025'!$Q$3:$Q$33,'FRIL 2025'!$G$3:$G$33,'2025 RESUMEN'!$D76)</f>
        <v>0</v>
      </c>
      <c r="Q76" s="117">
        <f>SUMIFS('2025 FNDR'!$Z$4:$Z$420,'2025 FNDR'!$G$4:$G$420,'2025 RESUMEN'!D76)+SUMIFS('FRIL 2025'!$R$3:$R$34,'FRIL 2025'!$G$3:$G$34,'2025 RESUMEN'!$D76)</f>
        <v>0</v>
      </c>
      <c r="R76" s="117">
        <f>SUMIFS('2025 FNDR'!$AA$4:$AA$435,'2025 FNDR'!$G$4:$G$435,'2025 RESUMEN'!D76)+SUMIFS('FRIL 2025'!$S$3:$S$36,'FRIL 2025'!$G$3:$G$36,'2025 RESUMEN'!$D76)</f>
        <v>0</v>
      </c>
      <c r="S76" s="117">
        <f>SUMIFS('2025 FNDR'!$AB$5:$AB$447,'2025 FNDR'!$G$5:$G$447,'2025 RESUMEN'!D76)+SUMIFS('FRIL 2025'!$T$3:$T$37,'FRIL 2025'!$G$3:$G$37,'2025 RESUMEN'!D76)</f>
        <v>0</v>
      </c>
      <c r="T76" s="67">
        <f t="shared" si="42"/>
        <v>669497.10499999998</v>
      </c>
      <c r="V76" s="66" t="s">
        <v>93</v>
      </c>
      <c r="W76" s="87">
        <f t="shared" si="43"/>
        <v>669497.10499999998</v>
      </c>
    </row>
    <row r="77" spans="4:23" ht="18" customHeight="1">
      <c r="D77" s="283" t="s">
        <v>94</v>
      </c>
      <c r="E77" s="289">
        <v>0</v>
      </c>
      <c r="H77" s="84">
        <f>SUMIFS('2025 FNDR'!$Q$4:$Q$356,'2025 FNDR'!$G$4:$G$356,'2025 RESUMEN'!D77)</f>
        <v>0</v>
      </c>
      <c r="I77" s="84">
        <f>SUMIFS('2025 FNDR'!$R$5:$R$483,'2025 FNDR'!$G$5:$G$483,'2025 RESUMEN'!D77)+SUMIFS('FRIL 2025'!$J$3:$J$61,'FRIL 2025'!$G$3:$G$61,'2025 RESUMEN'!$D77)</f>
        <v>0</v>
      </c>
      <c r="J77" s="84">
        <f>SUMIFS('2025 FNDR'!$S$4:$S$403,'2025 FNDR'!$G$4:$G$403,'2025 RESUMEN'!D77)+SUMIFS('FRIL 2025'!$K$3:$K$63,'FRIL 2025'!$G$3:$G$63,'2025 RESUMEN'!$D77)</f>
        <v>0</v>
      </c>
      <c r="K77" s="84">
        <f>SUMIFS('2025 FNDR'!$T$4:$T$356,'2025 FNDR'!$G$4:$G$356,'2025 RESUMEN'!D77)+SUMIFS('FRIL 2025'!$L$3:$L$63,'FRIL 2025'!$G$3:$G$63,'2025 RESUMEN'!$D77)</f>
        <v>0</v>
      </c>
      <c r="L77" s="84">
        <f>SUMIFS('2025 FNDR'!$U$4:$U$480,'2025 FNDR'!$G$4:$G$480,'2025 RESUMEN'!D77)+SUMIFS('FRIL 2025'!$M$3:$M$63,'FRIL 2025'!$G$3:$G$63,'2025 RESUMEN'!$D77)</f>
        <v>0</v>
      </c>
      <c r="M77" s="117">
        <f>SUMIFS('2025 FNDR'!$V$4:$V$499,'2025 FNDR'!$G$4:$G$499,'2025 RESUMEN'!D77)+SUMIFS('FRIL 2025'!$N$3:$N$60,'FRIL 2025'!$G$3:$G$60,'2025 RESUMEN'!$D77)</f>
        <v>0</v>
      </c>
      <c r="N77" s="117">
        <f>SUMIFS('2025 FNDR'!$W$4:$W$470,'2025 FNDR'!$G$4:$G$470,'2025 RESUMEN'!D77)+SUMIFS('FRIL 2025'!$O$3:$O$60,'FRIL 2025'!$G$3:$G$60,'2025 RESUMEN'!$D77)</f>
        <v>0</v>
      </c>
      <c r="O77" s="117">
        <f>SUMIFS('2025 FNDR'!$X$4:$X$387,'2025 FNDR'!$G$4:$G$387,'2025 RESUMEN'!D77)+SUMIFS('FRIL 2025'!$P$3:$P$32,'FRIL 2025'!$G$3:$G$32,'2025 RESUMEN'!$D77)</f>
        <v>0</v>
      </c>
      <c r="P77" s="117">
        <f>SUMIFS('2025 FNDR'!$Y$4:$Y$356,'2025 FNDR'!$G$4:$G$356,'2025 RESUMEN'!D77)+SUMIFS('FRIL 2025'!$Q$3:$Q$33,'FRIL 2025'!$G$3:$G$33,'2025 RESUMEN'!$D77)</f>
        <v>0</v>
      </c>
      <c r="Q77" s="117">
        <f>SUMIFS('2025 FNDR'!$Z$4:$Z$420,'2025 FNDR'!$G$4:$G$420,'2025 RESUMEN'!D77)+SUMIFS('FRIL 2025'!$R$3:$R$34,'FRIL 2025'!$G$3:$G$34,'2025 RESUMEN'!$D77)</f>
        <v>0</v>
      </c>
      <c r="R77" s="117">
        <f>SUMIFS('2025 FNDR'!$AA$4:$AA$435,'2025 FNDR'!$G$4:$G$435,'2025 RESUMEN'!D77)+SUMIFS('FRIL 2025'!$S$3:$S$36,'FRIL 2025'!$G$3:$G$36,'2025 RESUMEN'!$D77)</f>
        <v>0</v>
      </c>
      <c r="S77" s="117">
        <f>SUMIFS('2025 FNDR'!$AB$5:$AB$447,'2025 FNDR'!$G$5:$G$447,'2025 RESUMEN'!D77)+SUMIFS('FRIL 2025'!$T$3:$T$37,'FRIL 2025'!$G$3:$G$37,'2025 RESUMEN'!D77)</f>
        <v>0</v>
      </c>
      <c r="T77" s="67">
        <f t="shared" si="42"/>
        <v>0</v>
      </c>
      <c r="V77" s="66" t="s">
        <v>94</v>
      </c>
      <c r="W77" s="87">
        <f t="shared" si="43"/>
        <v>0</v>
      </c>
    </row>
    <row r="78" spans="4:23" ht="18" customHeight="1">
      <c r="D78" s="290" t="s">
        <v>95</v>
      </c>
      <c r="E78" s="291">
        <v>10983679</v>
      </c>
      <c r="G78" s="68"/>
      <c r="H78" s="78">
        <f>SUM(H72:H77)</f>
        <v>0</v>
      </c>
      <c r="I78" s="78">
        <f t="shared" ref="I78:R78" si="44">SUM(I72:I77)</f>
        <v>554133.08399999992</v>
      </c>
      <c r="J78" s="78">
        <f t="shared" si="44"/>
        <v>2173807.1800000002</v>
      </c>
      <c r="K78" s="78">
        <f t="shared" si="44"/>
        <v>1317930.1080000002</v>
      </c>
      <c r="L78" s="78">
        <f t="shared" si="44"/>
        <v>1321508.3950000003</v>
      </c>
      <c r="M78" s="78">
        <f t="shared" si="44"/>
        <v>465538.565</v>
      </c>
      <c r="N78" s="78">
        <f t="shared" si="44"/>
        <v>670802.56900000002</v>
      </c>
      <c r="O78" s="78">
        <f t="shared" si="44"/>
        <v>0</v>
      </c>
      <c r="P78" s="78">
        <f t="shared" si="44"/>
        <v>0</v>
      </c>
      <c r="Q78" s="78">
        <f t="shared" si="44"/>
        <v>0</v>
      </c>
      <c r="R78" s="78">
        <f t="shared" si="44"/>
        <v>0</v>
      </c>
      <c r="S78" s="78">
        <f>SUM(S72:S77)</f>
        <v>0</v>
      </c>
      <c r="T78" s="78">
        <f>SUM(T72:T77)</f>
        <v>6503719.9010000005</v>
      </c>
      <c r="V78" s="76" t="s">
        <v>95</v>
      </c>
      <c r="W78" s="77">
        <f>SUM(W72:W77)</f>
        <v>6503719.9010000005</v>
      </c>
    </row>
    <row r="79" spans="4:23" ht="18" customHeight="1">
      <c r="D79" s="283" t="s">
        <v>96</v>
      </c>
      <c r="E79" s="292">
        <v>8932586</v>
      </c>
      <c r="H79" s="85">
        <f>SUMIFS('2025 FNDR'!$Q$4:$Q$356,'2025 FNDR'!$G$4:$G$356,'2025 RESUMEN'!D79)</f>
        <v>0</v>
      </c>
      <c r="I79" s="85">
        <f>SUMIFS('2025 FNDR'!$R$5:$R$483,'2025 FNDR'!$G$5:$G$483,'2025 RESUMEN'!D79)+SUMIFS('FRIL 2025'!$J$3:$J$61,'FRIL 2025'!$G$3:$G$61,'2025 RESUMEN'!$D79)</f>
        <v>321942.20400000003</v>
      </c>
      <c r="J79" s="85">
        <f>SUMIFS('2025 FNDR'!$S$4:$S$403,'2025 FNDR'!$G$4:$G$403,'2025 RESUMEN'!D79)+SUMIFS('FRIL 2025'!$K$3:$K$63,'FRIL 2025'!$G$3:$G$63,'2025 RESUMEN'!$D79)</f>
        <v>0</v>
      </c>
      <c r="K79" s="85">
        <f>SUMIFS('2025 FNDR'!$T$4:$T$356,'2025 FNDR'!$G$4:$G$356,'2025 RESUMEN'!D79)+SUMIFS('FRIL 2025'!$L$3:$L$63,'FRIL 2025'!$G$3:$G$63,'2025 RESUMEN'!$D79)</f>
        <v>75704.262000000002</v>
      </c>
      <c r="L79" s="85">
        <f>SUMIFS('2025 FNDR'!$U$4:$U$480,'2025 FNDR'!$G$4:$G$480,'2025 RESUMEN'!D79)+SUMIFS('FRIL 2025'!$M$3:$M$63,'FRIL 2025'!$G$3:$G$63,'2025 RESUMEN'!$D79)</f>
        <v>338889.89800000004</v>
      </c>
      <c r="M79" s="118">
        <f>SUMIFS('2025 FNDR'!$V$4:$V$499,'2025 FNDR'!$G$4:$G$499,'2025 RESUMEN'!D79)+SUMIFS('FRIL 2025'!$N$3:$N$60,'FRIL 2025'!$G$3:$G$60,'2025 RESUMEN'!$D79)</f>
        <v>290529.11699999997</v>
      </c>
      <c r="N79" s="118">
        <f>SUMIFS('2025 FNDR'!$W$4:$W$470,'2025 FNDR'!$G$4:$G$470,'2025 RESUMEN'!D79)+SUMIFS('FRIL 2025'!$O$3:$O$60,'FRIL 2025'!$G$3:$G$60,'2025 RESUMEN'!$D79)</f>
        <v>83815.25</v>
      </c>
      <c r="O79" s="118">
        <f>SUMIFS('2025 FNDR'!$X$4:$X$387,'2025 FNDR'!$G$4:$G$387,'2025 RESUMEN'!D79)+SUMIFS('FRIL 2025'!$P$3:$P$32,'FRIL 2025'!$G$3:$G$32,'2025 RESUMEN'!$D79)</f>
        <v>0</v>
      </c>
      <c r="P79" s="118">
        <f>SUMIFS('2025 FNDR'!$Y$4:$Y$356,'2025 FNDR'!$G$4:$G$356,'2025 RESUMEN'!D79)+SUMIFS('FRIL 2025'!$Q$3:$Q$33,'FRIL 2025'!$G$3:$G$33,'2025 RESUMEN'!$D79)</f>
        <v>0</v>
      </c>
      <c r="Q79" s="118">
        <f>SUMIFS('2025 FNDR'!$Z$4:$Z$420,'2025 FNDR'!$G$4:$G$420,'2025 RESUMEN'!D79)+SUMIFS('FRIL 2025'!$R$3:$R$34,'FRIL 2025'!$G$3:$G$34,'2025 RESUMEN'!$D79)</f>
        <v>0</v>
      </c>
      <c r="R79" s="118">
        <f>SUMIFS('2025 FNDR'!$AA$4:$AA$435,'2025 FNDR'!$G$4:$G$435,'2025 RESUMEN'!D79)+SUMIFS('FRIL 2025'!$S$3:$S$36,'FRIL 2025'!$G$3:$G$36,'2025 RESUMEN'!$D79)</f>
        <v>0</v>
      </c>
      <c r="S79" s="118">
        <f>SUMIFS('2025 FNDR'!$AB$5:$AB$447,'2025 FNDR'!$G$5:$G$447,'2025 RESUMEN'!D79)+SUMIFS('FRIL 2025'!$T$3:$T$37,'FRIL 2025'!$G$3:$G$37,'2025 RESUMEN'!D79)</f>
        <v>0</v>
      </c>
      <c r="T79" s="67">
        <f>SUMIFS(H79:S79,$H$62:$S$62,"ejecutado")</f>
        <v>1110880.7310000001</v>
      </c>
      <c r="V79" s="66" t="s">
        <v>96</v>
      </c>
      <c r="W79" s="5">
        <f>T79</f>
        <v>1110880.7310000001</v>
      </c>
    </row>
    <row r="80" spans="4:23" ht="18" customHeight="1">
      <c r="D80" s="283" t="s">
        <v>97</v>
      </c>
      <c r="E80" s="292">
        <v>1973970</v>
      </c>
      <c r="H80" s="85">
        <f>SUMIFS('2025 FNDR'!$Q$4:$Q$356,'2025 FNDR'!$G$4:$G$356,'2025 RESUMEN'!D80)</f>
        <v>0</v>
      </c>
      <c r="I80" s="85">
        <f>SUMIFS('2025 FNDR'!$R$5:$R$483,'2025 FNDR'!$G$5:$G$483,'2025 RESUMEN'!D80)+SUMIFS('FRIL 2025'!$J$3:$J$61,'FRIL 2025'!$G$3:$G$61,'2025 RESUMEN'!$D80)</f>
        <v>193362.022</v>
      </c>
      <c r="J80" s="85">
        <f>SUMIFS('2025 FNDR'!$S$4:$S$403,'2025 FNDR'!$G$4:$G$403,'2025 RESUMEN'!D80)+SUMIFS('FRIL 2025'!$K$3:$K$63,'FRIL 2025'!$G$3:$G$63,'2025 RESUMEN'!$D80)</f>
        <v>560738.723</v>
      </c>
      <c r="K80" s="85">
        <f>SUMIFS('2025 FNDR'!$T$4:$T$356,'2025 FNDR'!$G$4:$G$356,'2025 RESUMEN'!D80)+SUMIFS('FRIL 2025'!$L$3:$L$63,'FRIL 2025'!$G$3:$G$63,'2025 RESUMEN'!$D80)</f>
        <v>444654.03499999997</v>
      </c>
      <c r="L80" s="85">
        <f>SUMIFS('2025 FNDR'!$U$4:$U$480,'2025 FNDR'!$G$4:$G$480,'2025 RESUMEN'!D80)+SUMIFS('FRIL 2025'!$M$3:$M$63,'FRIL 2025'!$G$3:$G$63,'2025 RESUMEN'!$D80)</f>
        <v>357757.01299999998</v>
      </c>
      <c r="M80" s="118">
        <f>SUMIFS('2025 FNDR'!$V$4:$V$499,'2025 FNDR'!$G$4:$G$499,'2025 RESUMEN'!D80)+SUMIFS('FRIL 2025'!$N$3:$N$60,'FRIL 2025'!$G$3:$G$60,'2025 RESUMEN'!$D80)</f>
        <v>493549.45900000003</v>
      </c>
      <c r="N80" s="118">
        <f>SUMIFS('2025 FNDR'!$W$4:$W$470,'2025 FNDR'!$G$4:$G$470,'2025 RESUMEN'!D80)+SUMIFS('FRIL 2025'!$O$3:$O$60,'FRIL 2025'!$G$3:$G$60,'2025 RESUMEN'!$D80)</f>
        <v>439334.02500000002</v>
      </c>
      <c r="O80" s="118">
        <f>SUMIFS('2025 FNDR'!$X$4:$X$387,'2025 FNDR'!$G$4:$G$387,'2025 RESUMEN'!D80)+SUMIFS('FRIL 2025'!$P$3:$P$32,'FRIL 2025'!$G$3:$G$32,'2025 RESUMEN'!$D80)</f>
        <v>0</v>
      </c>
      <c r="P80" s="118">
        <f>SUMIFS('2025 FNDR'!$Y$4:$Y$356,'2025 FNDR'!$G$4:$G$356,'2025 RESUMEN'!D80)+SUMIFS('FRIL 2025'!$Q$3:$Q$33,'FRIL 2025'!$G$3:$G$33,'2025 RESUMEN'!$D80)</f>
        <v>0</v>
      </c>
      <c r="Q80" s="118">
        <f>SUMIFS('2025 FNDR'!$Z$4:$Z$420,'2025 FNDR'!$G$4:$G$420,'2025 RESUMEN'!D80)+SUMIFS('FRIL 2025'!$R$3:$R$34,'FRIL 2025'!$G$3:$G$34,'2025 RESUMEN'!$D80)</f>
        <v>0</v>
      </c>
      <c r="R80" s="118">
        <f>SUMIFS('2025 FNDR'!$AA$4:$AA$435,'2025 FNDR'!$G$4:$G$435,'2025 RESUMEN'!D80)+SUMIFS('FRIL 2025'!$S$3:$S$36,'FRIL 2025'!$G$3:$G$36,'2025 RESUMEN'!$D80)</f>
        <v>0</v>
      </c>
      <c r="S80" s="118">
        <f>SUMIFS('2025 FNDR'!$AB$5:$AB$447,'2025 FNDR'!$G$5:$G$447,'2025 RESUMEN'!D80)+SUMIFS('FRIL 2025'!$T$3:$T$37,'FRIL 2025'!$G$3:$G$37,'2025 RESUMEN'!D80)</f>
        <v>0</v>
      </c>
      <c r="T80" s="67">
        <f>SUMIFS(H80:S80,$H$62:$S$62,"ejecutado")</f>
        <v>2489395.2770000002</v>
      </c>
      <c r="V80" s="66" t="s">
        <v>97</v>
      </c>
      <c r="W80" s="5">
        <f t="shared" ref="W80:W83" si="45">T80</f>
        <v>2489395.2770000002</v>
      </c>
    </row>
    <row r="81" spans="4:23" ht="18" customHeight="1">
      <c r="D81" s="283" t="s">
        <v>98</v>
      </c>
      <c r="E81" s="292">
        <v>1827610</v>
      </c>
      <c r="H81" s="85">
        <f>SUMIFS('2025 FNDR'!$Q$4:$Q$356,'2025 FNDR'!$G$4:$G$356,'2025 RESUMEN'!D81)</f>
        <v>0</v>
      </c>
      <c r="I81" s="85">
        <f>SUMIFS('2025 FNDR'!$R$5:$R$483,'2025 FNDR'!$G$5:$G$483,'2025 RESUMEN'!D81)+SUMIFS('FRIL 2025'!$J$3:$J$61,'FRIL 2025'!$G$3:$G$61,'2025 RESUMEN'!$D81)</f>
        <v>168358.45300000001</v>
      </c>
      <c r="J81" s="85">
        <f>SUMIFS('2025 FNDR'!$S$4:$S$403,'2025 FNDR'!$G$4:$G$403,'2025 RESUMEN'!D81)+SUMIFS('FRIL 2025'!$K$3:$K$63,'FRIL 2025'!$G$3:$G$63,'2025 RESUMEN'!$D81)</f>
        <v>0</v>
      </c>
      <c r="K81" s="85">
        <f>SUMIFS('2025 FNDR'!$T$4:$T$356,'2025 FNDR'!$G$4:$G$356,'2025 RESUMEN'!D81)+SUMIFS('FRIL 2025'!$L$3:$L$63,'FRIL 2025'!$G$3:$G$63,'2025 RESUMEN'!$D81)</f>
        <v>0</v>
      </c>
      <c r="L81" s="85">
        <f>SUMIFS('2025 FNDR'!$U$4:$U$480,'2025 FNDR'!$G$4:$G$480,'2025 RESUMEN'!D81)+SUMIFS('FRIL 2025'!$M$3:$M$63,'FRIL 2025'!$G$3:$G$63,'2025 RESUMEN'!$D81)</f>
        <v>328914.35700000002</v>
      </c>
      <c r="M81" s="118">
        <f>SUMIFS('2025 FNDR'!$V$4:$V$499,'2025 FNDR'!$G$4:$G$499,'2025 RESUMEN'!D81)+SUMIFS('FRIL 2025'!$N$3:$N$60,'FRIL 2025'!$G$3:$G$60,'2025 RESUMEN'!$D81)</f>
        <v>80730.459000000003</v>
      </c>
      <c r="N81" s="118">
        <f>SUMIFS('2025 FNDR'!$W$4:$W$470,'2025 FNDR'!$G$4:$G$470,'2025 RESUMEN'!D81)+SUMIFS('FRIL 2025'!$O$3:$O$60,'FRIL 2025'!$G$3:$G$60,'2025 RESUMEN'!$D81)</f>
        <v>192190.99300000002</v>
      </c>
      <c r="O81" s="118">
        <f>SUMIFS('2025 FNDR'!$X$4:$X$387,'2025 FNDR'!$G$4:$G$387,'2025 RESUMEN'!D81)+SUMIFS('FRIL 2025'!$P$3:$P$32,'FRIL 2025'!$G$3:$G$32,'2025 RESUMEN'!$D81)</f>
        <v>0</v>
      </c>
      <c r="P81" s="118">
        <f>SUMIFS('2025 FNDR'!$Y$4:$Y$356,'2025 FNDR'!$G$4:$G$356,'2025 RESUMEN'!D81)+SUMIFS('FRIL 2025'!$Q$3:$Q$33,'FRIL 2025'!$G$3:$G$33,'2025 RESUMEN'!$D81)</f>
        <v>0</v>
      </c>
      <c r="Q81" s="118">
        <f>SUMIFS('2025 FNDR'!$Z$4:$Z$420,'2025 FNDR'!$G$4:$G$420,'2025 RESUMEN'!D81)+SUMIFS('FRIL 2025'!$R$3:$R$34,'FRIL 2025'!$G$3:$G$34,'2025 RESUMEN'!$D81)</f>
        <v>0</v>
      </c>
      <c r="R81" s="118">
        <f>SUMIFS('2025 FNDR'!$AA$4:$AA$435,'2025 FNDR'!$G$4:$G$435,'2025 RESUMEN'!D81)+SUMIFS('FRIL 2025'!$S$3:$S$36,'FRIL 2025'!$G$3:$G$36,'2025 RESUMEN'!$D81)</f>
        <v>0</v>
      </c>
      <c r="S81" s="118">
        <f>SUMIFS('2025 FNDR'!$AB$5:$AB$447,'2025 FNDR'!$G$5:$G$447,'2025 RESUMEN'!D81)+SUMIFS('FRIL 2025'!$T$3:$T$37,'FRIL 2025'!$G$3:$G$37,'2025 RESUMEN'!D81)</f>
        <v>0</v>
      </c>
      <c r="T81" s="67">
        <f>SUMIFS(H81:S81,$H$62:$S$62,"ejecutado")</f>
        <v>770194.2620000001</v>
      </c>
      <c r="V81" s="66" t="s">
        <v>98</v>
      </c>
      <c r="W81" s="5">
        <f t="shared" si="45"/>
        <v>770194.2620000001</v>
      </c>
    </row>
    <row r="82" spans="4:23" ht="18" customHeight="1">
      <c r="D82" s="283" t="s">
        <v>99</v>
      </c>
      <c r="E82" s="292">
        <v>641912</v>
      </c>
      <c r="H82" s="85">
        <f>SUMIFS('2025 FNDR'!$Q$4:$Q$356,'2025 FNDR'!$G$4:$G$356,'2025 RESUMEN'!D82)</f>
        <v>0</v>
      </c>
      <c r="I82" s="85">
        <f>SUMIFS('2025 FNDR'!$R$5:$R$483,'2025 FNDR'!$G$5:$G$483,'2025 RESUMEN'!D82)+SUMIFS('FRIL 2025'!$J$3:$J$61,'FRIL 2025'!$G$3:$G$61,'2025 RESUMEN'!$D82)</f>
        <v>197998.77799999999</v>
      </c>
      <c r="J82" s="85">
        <f>SUMIFS('2025 FNDR'!$S$4:$S$403,'2025 FNDR'!$G$4:$G$403,'2025 RESUMEN'!D82)+SUMIFS('FRIL 2025'!$K$3:$K$63,'FRIL 2025'!$G$3:$G$63,'2025 RESUMEN'!$D82)</f>
        <v>141914.342</v>
      </c>
      <c r="K82" s="85">
        <f>SUMIFS('2025 FNDR'!$T$4:$T$356,'2025 FNDR'!$G$4:$G$356,'2025 RESUMEN'!D82)+SUMIFS('FRIL 2025'!$L$3:$L$63,'FRIL 2025'!$G$3:$G$63,'2025 RESUMEN'!$D82)</f>
        <v>22294.834999999999</v>
      </c>
      <c r="L82" s="85">
        <f>SUMIFS('2025 FNDR'!$U$4:$U$480,'2025 FNDR'!$G$4:$G$480,'2025 RESUMEN'!D82)+SUMIFS('FRIL 2025'!$M$3:$M$63,'FRIL 2025'!$G$3:$G$63,'2025 RESUMEN'!$D82)</f>
        <v>294905.16400000005</v>
      </c>
      <c r="M82" s="118">
        <f>SUMIFS('2025 FNDR'!$V$4:$V$499,'2025 FNDR'!$G$4:$G$499,'2025 RESUMEN'!D82)+SUMIFS('FRIL 2025'!$N$3:$N$60,'FRIL 2025'!$G$3:$G$60,'2025 RESUMEN'!$D82)</f>
        <v>27758.100999999999</v>
      </c>
      <c r="N82" s="118">
        <f>SUMIFS('2025 FNDR'!$W$4:$W$470,'2025 FNDR'!$G$4:$G$470,'2025 RESUMEN'!D82)+SUMIFS('FRIL 2025'!$O$3:$O$60,'FRIL 2025'!$G$3:$G$60,'2025 RESUMEN'!$D82)</f>
        <v>93289.994000000006</v>
      </c>
      <c r="O82" s="118">
        <f>SUMIFS('2025 FNDR'!$X$4:$X$387,'2025 FNDR'!$G$4:$G$387,'2025 RESUMEN'!D82)+SUMIFS('FRIL 2025'!$P$3:$P$32,'FRIL 2025'!$G$3:$G$32,'2025 RESUMEN'!$D82)</f>
        <v>0</v>
      </c>
      <c r="P82" s="118">
        <f>SUMIFS('2025 FNDR'!$Y$4:$Y$356,'2025 FNDR'!$G$4:$G$356,'2025 RESUMEN'!D82)+SUMIFS('FRIL 2025'!$Q$3:$Q$33,'FRIL 2025'!$G$3:$G$33,'2025 RESUMEN'!$D82)</f>
        <v>0</v>
      </c>
      <c r="Q82" s="118">
        <f>SUMIFS('2025 FNDR'!$Z$4:$Z$420,'2025 FNDR'!$G$4:$G$420,'2025 RESUMEN'!D82)+SUMIFS('FRIL 2025'!$R$3:$R$34,'FRIL 2025'!$G$3:$G$34,'2025 RESUMEN'!$D82)</f>
        <v>0</v>
      </c>
      <c r="R82" s="118">
        <f>SUMIFS('2025 FNDR'!$AA$4:$AA$435,'2025 FNDR'!$G$4:$G$435,'2025 RESUMEN'!D82)+SUMIFS('FRIL 2025'!$S$3:$S$36,'FRIL 2025'!$G$3:$G$36,'2025 RESUMEN'!$D82)</f>
        <v>0</v>
      </c>
      <c r="S82" s="118">
        <f>SUMIFS('2025 FNDR'!$AB$5:$AB$447,'2025 FNDR'!$G$5:$G$447,'2025 RESUMEN'!D82)+SUMIFS('FRIL 2025'!$T$3:$T$37,'FRIL 2025'!$G$3:$G$37,'2025 RESUMEN'!D82)</f>
        <v>0</v>
      </c>
      <c r="T82" s="67">
        <f>SUMIFS(H82:S82,$H$62:$S$62,"ejecutado")</f>
        <v>778161.21400000015</v>
      </c>
      <c r="V82" s="66" t="s">
        <v>99</v>
      </c>
      <c r="W82" s="5">
        <f t="shared" si="45"/>
        <v>778161.21400000015</v>
      </c>
    </row>
    <row r="83" spans="4:23" ht="18" customHeight="1">
      <c r="D83" s="283" t="s">
        <v>100</v>
      </c>
      <c r="E83" s="293">
        <v>0</v>
      </c>
      <c r="H83" s="85">
        <f>SUMIFS('2025 FNDR'!$Q$4:$Q$356,'2025 FNDR'!$G$4:$G$356,'2025 RESUMEN'!D83)</f>
        <v>0</v>
      </c>
      <c r="I83" s="85">
        <f>SUMIFS('2025 FNDR'!$R$5:$R$483,'2025 FNDR'!$G$5:$G$483,'2025 RESUMEN'!D83)+SUMIFS('FRIL 2025'!$J$3:$J$61,'FRIL 2025'!$G$3:$G$61,'2025 RESUMEN'!$D83)</f>
        <v>0</v>
      </c>
      <c r="J83" s="85">
        <f>SUMIFS('2025 FNDR'!$S$4:$S$403,'2025 FNDR'!$G$4:$G$403,'2025 RESUMEN'!D83)+SUMIFS('FRIL 2025'!$K$3:$K$63,'FRIL 2025'!$G$3:$G$63,'2025 RESUMEN'!$D83)</f>
        <v>0</v>
      </c>
      <c r="K83" s="85">
        <f>SUMIFS('2025 FNDR'!$T$4:$T$356,'2025 FNDR'!$G$4:$G$356,'2025 RESUMEN'!D83)+SUMIFS('FRIL 2025'!$L$3:$L$63,'FRIL 2025'!$G$3:$G$63,'2025 RESUMEN'!$D83)</f>
        <v>0</v>
      </c>
      <c r="L83" s="85">
        <f>SUMIFS('2025 FNDR'!$U$4:$U$480,'2025 FNDR'!$G$4:$G$480,'2025 RESUMEN'!D83)+SUMIFS('FRIL 2025'!$M$3:$M$63,'FRIL 2025'!$G$3:$G$63,'2025 RESUMEN'!$D83)</f>
        <v>0</v>
      </c>
      <c r="M83" s="118">
        <f>SUMIFS('2025 FNDR'!$V$4:$V$499,'2025 FNDR'!$G$4:$G$499,'2025 RESUMEN'!D83)+SUMIFS('FRIL 2025'!$N$3:$N$60,'FRIL 2025'!$G$3:$G$60,'2025 RESUMEN'!$D83)</f>
        <v>0</v>
      </c>
      <c r="N83" s="118">
        <f>SUMIFS('2025 FNDR'!$W$4:$W$470,'2025 FNDR'!$G$4:$G$470,'2025 RESUMEN'!D83)+SUMIFS('FRIL 2025'!$O$3:$O$60,'FRIL 2025'!$G$3:$G$60,'2025 RESUMEN'!$D83)</f>
        <v>0</v>
      </c>
      <c r="O83" s="118">
        <f>SUMIFS('2025 FNDR'!$X$4:$X$387,'2025 FNDR'!$G$4:$G$387,'2025 RESUMEN'!D83)+SUMIFS('FRIL 2025'!$P$3:$P$32,'FRIL 2025'!$G$3:$G$32,'2025 RESUMEN'!$D83)</f>
        <v>0</v>
      </c>
      <c r="P83" s="118">
        <f>SUMIFS('2025 FNDR'!$Y$4:$Y$356,'2025 FNDR'!$G$4:$G$356,'2025 RESUMEN'!D83)+SUMIFS('FRIL 2025'!$Q$3:$Q$33,'FRIL 2025'!$G$3:$G$33,'2025 RESUMEN'!$D83)</f>
        <v>0</v>
      </c>
      <c r="Q83" s="118">
        <f>SUMIFS('2025 FNDR'!$Z$4:$Z$420,'2025 FNDR'!$G$4:$G$420,'2025 RESUMEN'!D83)+SUMIFS('FRIL 2025'!$R$3:$R$34,'FRIL 2025'!$G$3:$G$34,'2025 RESUMEN'!$D83)</f>
        <v>0</v>
      </c>
      <c r="R83" s="118">
        <f>SUMIFS('2025 FNDR'!$AA$4:$AA$435,'2025 FNDR'!$G$4:$G$435,'2025 RESUMEN'!D83)+SUMIFS('FRIL 2025'!$S$3:$S$36,'FRIL 2025'!$G$3:$G$36,'2025 RESUMEN'!$D83)</f>
        <v>0</v>
      </c>
      <c r="S83" s="118">
        <f>SUMIFS('2025 FNDR'!$AB$5:$AB$447,'2025 FNDR'!$G$5:$G$447,'2025 RESUMEN'!D83)+SUMIFS('FRIL 2025'!$T$3:$T$37,'FRIL 2025'!$G$3:$G$37,'2025 RESUMEN'!D83)</f>
        <v>0</v>
      </c>
      <c r="T83" s="67">
        <f>SUMIFS(H83:S83,$H$62:$S$62,"ejecutado")</f>
        <v>0</v>
      </c>
      <c r="V83" s="66" t="s">
        <v>100</v>
      </c>
      <c r="W83" s="5">
        <f t="shared" si="45"/>
        <v>0</v>
      </c>
    </row>
    <row r="84" spans="4:23" ht="18" customHeight="1">
      <c r="D84" s="294" t="s">
        <v>101</v>
      </c>
      <c r="E84" s="295">
        <v>13376078</v>
      </c>
      <c r="H84" s="81">
        <f>SUM(H79:H83)</f>
        <v>0</v>
      </c>
      <c r="I84" s="81">
        <f>SUM(I79:I83)</f>
        <v>881661.45699999994</v>
      </c>
      <c r="J84" s="81">
        <f t="shared" ref="J84:S84" si="46">SUM(J79:J83)</f>
        <v>702653.06499999994</v>
      </c>
      <c r="K84" s="81">
        <f t="shared" si="46"/>
        <v>542653.13199999998</v>
      </c>
      <c r="L84" s="81">
        <f t="shared" si="46"/>
        <v>1320466.4320000003</v>
      </c>
      <c r="M84" s="81">
        <f t="shared" si="46"/>
        <v>892567.13600000006</v>
      </c>
      <c r="N84" s="81">
        <f t="shared" si="46"/>
        <v>808630.2620000001</v>
      </c>
      <c r="O84" s="81">
        <f t="shared" si="46"/>
        <v>0</v>
      </c>
      <c r="P84" s="81">
        <f t="shared" si="46"/>
        <v>0</v>
      </c>
      <c r="Q84" s="81">
        <f>SUM(Q79:Q83)</f>
        <v>0</v>
      </c>
      <c r="R84" s="81">
        <f t="shared" si="46"/>
        <v>0</v>
      </c>
      <c r="S84" s="81">
        <f t="shared" si="46"/>
        <v>0</v>
      </c>
      <c r="T84" s="81">
        <f>SUM(T79:T83)</f>
        <v>5148631.4840000011</v>
      </c>
      <c r="V84" s="79" t="s">
        <v>101</v>
      </c>
      <c r="W84" s="80">
        <f>SUM(W79:W83)</f>
        <v>5148631.4840000011</v>
      </c>
    </row>
    <row r="85" spans="4:23" ht="18" customHeight="1">
      <c r="D85" s="296" t="s">
        <v>102</v>
      </c>
      <c r="E85" s="297">
        <v>13875231</v>
      </c>
      <c r="G85" s="68"/>
      <c r="H85" s="90">
        <f>SUMIFS('2025 FNDR'!$Q$4:$Q$356,'2025 FNDR'!$G$4:$G$356,'2025 RESUMEN'!D85)</f>
        <v>0</v>
      </c>
      <c r="I85" s="90">
        <f>SUMIFS('2025 FNDR'!$R$5:$R$483,'2025 FNDR'!$G$5:$G$483,'2025 RESUMEN'!D85)</f>
        <v>725227.07400000002</v>
      </c>
      <c r="J85" s="90">
        <f>SUMIFS('2025 FNDR'!$S$4:$S$403,'2025 FNDR'!$G$4:$G$403,'2025 RESUMEN'!D85)+SUMIFS('FRIL 2025'!$K$3:$K$63,'FRIL 2025'!$G$3:$G$63,'2025 RESUMEN'!$D69)</f>
        <v>462981.01400000002</v>
      </c>
      <c r="K85" s="90">
        <f>SUMIFS('2025 FNDR'!$T$4:$T$356,'2025 FNDR'!$G$4:$G$356,'2025 RESUMEN'!D85)</f>
        <v>278281.08400000003</v>
      </c>
      <c r="L85" s="90">
        <f>SUMIFS('2025 FNDR'!$U$4:$U$480,'2025 FNDR'!$G$4:$G$480,'2025 RESUMEN'!D85)</f>
        <v>865210.87300000002</v>
      </c>
      <c r="M85" s="126">
        <f>SUMIFS('2025 FNDR'!$V$4:$V$369,'2025 FNDR'!$G$4:$G$369,'2025 RESUMEN'!D85)+SUMIFS('FRIL 2025'!$M$3:$M$60,'FRIL 2025'!$G$3:$G$60,'2025 RESUMEN'!$D85)</f>
        <v>635816.94700000004</v>
      </c>
      <c r="N85" s="126">
        <f>SUMIFS('2025 FNDR'!$W$4:$W$470,'2025 FNDR'!$G$4:$G$470,'2025 RESUMEN'!D85)+SUMIFS('FRIL 2025'!$O$3:$O$60,'FRIL 2025'!$G$3:$G$60,'2025 RESUMEN'!$D85)</f>
        <v>1892494.7120000001</v>
      </c>
      <c r="O85" s="126">
        <f>SUMIFS('2025 FNDR'!$W$4:$W$470,'2025 FNDR'!$G$4:$G$470,'2025 RESUMEN'!E85)+SUMIFS('FRIL 2025'!$O$3:$O$60,'FRIL 2025'!$G$3:$G$60,'2025 RESUMEN'!$D85)</f>
        <v>0</v>
      </c>
      <c r="P85" s="126">
        <f>SUMIFS('2025 FNDR'!$W$4:$W$470,'2025 FNDR'!$G$4:$G$470,'2025 RESUMEN'!F85)+SUMIFS('FRIL 2025'!$O$3:$O$60,'FRIL 2025'!$G$3:$G$60,'2025 RESUMEN'!$D85)</f>
        <v>0</v>
      </c>
      <c r="Q85" s="126">
        <f>SUMIFS('2025 FNDR'!$W$4:$W$470,'2025 FNDR'!$G$4:$G$470,'2025 RESUMEN'!G85)+SUMIFS('FRIL 2025'!$O$3:$O$60,'FRIL 2025'!$G$3:$G$60,'2025 RESUMEN'!$D85)</f>
        <v>0</v>
      </c>
      <c r="R85" s="126">
        <f>SUMIFS('2025 FNDR'!$W$4:$W$470,'2025 FNDR'!$G$4:$G$470,'2025 RESUMEN'!H85)+SUMIFS('FRIL 2025'!$O$3:$O$60,'FRIL 2025'!$G$3:$G$60,'2025 RESUMEN'!$D85)</f>
        <v>0</v>
      </c>
      <c r="S85" s="126">
        <f>SUMIFS('2025 FNDR'!$W$4:$W$470,'2025 FNDR'!$G$4:$G$470,'2025 RESUMEN'!I85)+SUMIFS('FRIL 2025'!$O$3:$O$60,'FRIL 2025'!$G$3:$G$60,'2025 RESUMEN'!$D85)</f>
        <v>0</v>
      </c>
      <c r="T85" s="90">
        <f>SUMIFS(H85:S85,$H$62:$S$62,"ejecutado")</f>
        <v>4860011.7039999999</v>
      </c>
      <c r="V85" s="88" t="s">
        <v>102</v>
      </c>
      <c r="W85" s="89">
        <f>T85</f>
        <v>4860011.7039999999</v>
      </c>
    </row>
    <row r="86" spans="4:23" ht="24" customHeight="1">
      <c r="D86" s="298" t="s">
        <v>103</v>
      </c>
      <c r="E86" s="292">
        <v>44169122</v>
      </c>
      <c r="G86" s="68"/>
      <c r="H86" s="67">
        <f>H71+H78+H84+H85</f>
        <v>0</v>
      </c>
      <c r="I86" s="67">
        <f>I71+I78+I84+I85</f>
        <v>2916644.8159999996</v>
      </c>
      <c r="J86" s="67">
        <f>J71+J78+J84+J85</f>
        <v>3569580.9029999999</v>
      </c>
      <c r="K86" s="67">
        <f t="shared" ref="K86:Q86" si="47">K71+K78+K84+K85</f>
        <v>2698482.8020000001</v>
      </c>
      <c r="L86" s="67">
        <f>L71+L78+L84+L85</f>
        <v>4332956.2030000007</v>
      </c>
      <c r="M86" s="67">
        <f>M71+M78+M84+M85</f>
        <v>2961260.6770000001</v>
      </c>
      <c r="N86" s="67">
        <f t="shared" si="47"/>
        <v>3743809.0670000003</v>
      </c>
      <c r="O86" s="67">
        <f>O71+O78+O84+O85</f>
        <v>0</v>
      </c>
      <c r="P86" s="67">
        <f t="shared" si="47"/>
        <v>0</v>
      </c>
      <c r="Q86" s="67">
        <f t="shared" si="47"/>
        <v>0</v>
      </c>
      <c r="R86" s="67">
        <f>R71+R78+R84+R85</f>
        <v>0</v>
      </c>
      <c r="S86" s="67">
        <f>S71+S78+S84+S85</f>
        <v>0</v>
      </c>
      <c r="T86" s="67">
        <f>T71+T78+T84+T85</f>
        <v>20222734.468000002</v>
      </c>
      <c r="U86" s="82"/>
      <c r="V86" s="230" t="s">
        <v>103</v>
      </c>
      <c r="W86" s="5">
        <f>W71+W78+W84+W85</f>
        <v>20222734.468000002</v>
      </c>
    </row>
    <row r="87" spans="4:23" ht="18" customHeight="1">
      <c r="D87" s="60"/>
      <c r="E87" s="70"/>
      <c r="H87" s="309" t="s">
        <v>104</v>
      </c>
      <c r="I87" s="309"/>
      <c r="J87" s="309"/>
      <c r="K87" s="309"/>
      <c r="L87" s="309"/>
      <c r="M87" s="309"/>
      <c r="N87" s="309"/>
      <c r="O87" s="309"/>
      <c r="P87" s="309"/>
      <c r="Q87" s="309"/>
    </row>
    <row r="88" spans="4:23" ht="18" hidden="1" customHeight="1">
      <c r="D88" s="60"/>
      <c r="E88" s="70"/>
      <c r="H88" s="82">
        <f t="shared" ref="H88:T88" si="48">H34-H86</f>
        <v>0</v>
      </c>
      <c r="I88" s="82">
        <f t="shared" si="48"/>
        <v>0</v>
      </c>
      <c r="J88" s="82">
        <f t="shared" si="48"/>
        <v>0</v>
      </c>
      <c r="K88" s="82">
        <f t="shared" si="48"/>
        <v>0</v>
      </c>
      <c r="L88" s="82">
        <f t="shared" si="48"/>
        <v>0</v>
      </c>
      <c r="M88" s="82">
        <f t="shared" si="48"/>
        <v>0</v>
      </c>
      <c r="N88" s="82">
        <f t="shared" si="48"/>
        <v>0</v>
      </c>
      <c r="O88" s="82">
        <f t="shared" si="48"/>
        <v>0</v>
      </c>
      <c r="P88" s="82">
        <f t="shared" si="48"/>
        <v>0</v>
      </c>
      <c r="Q88" s="82">
        <f t="shared" si="48"/>
        <v>0</v>
      </c>
      <c r="R88" s="82">
        <f t="shared" si="48"/>
        <v>0</v>
      </c>
      <c r="S88" s="82">
        <f t="shared" si="48"/>
        <v>0</v>
      </c>
      <c r="T88" s="82">
        <f t="shared" si="48"/>
        <v>0</v>
      </c>
      <c r="U88" s="82"/>
      <c r="V88" s="82"/>
    </row>
    <row r="89" spans="4:23" ht="18" customHeight="1">
      <c r="D89" s="60"/>
      <c r="E89" s="70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14"/>
    </row>
    <row r="90" spans="4:23" ht="18" customHeight="1">
      <c r="D90" s="60"/>
      <c r="E90" s="70"/>
      <c r="H90" s="64" t="str">
        <f>H62</f>
        <v>EJECUTADO</v>
      </c>
      <c r="I90" s="64" t="str">
        <f t="shared" ref="I90:T90" si="49">I62</f>
        <v>EJECUTADO</v>
      </c>
      <c r="J90" s="64" t="str">
        <f t="shared" si="49"/>
        <v>EJECUTADO</v>
      </c>
      <c r="K90" s="64" t="str">
        <f t="shared" si="49"/>
        <v>EJECUTADO</v>
      </c>
      <c r="L90" s="64" t="str">
        <f t="shared" si="49"/>
        <v>EJECUTADO</v>
      </c>
      <c r="M90" s="64" t="str">
        <f t="shared" si="49"/>
        <v>EJECUTADO</v>
      </c>
      <c r="N90" s="64" t="str">
        <f t="shared" si="49"/>
        <v>EJECUTADO</v>
      </c>
      <c r="O90" s="64" t="str">
        <f t="shared" si="49"/>
        <v>EJECUTADO</v>
      </c>
      <c r="P90" s="64" t="str">
        <f t="shared" si="49"/>
        <v>EJECUTADO</v>
      </c>
      <c r="Q90" s="64" t="str">
        <f t="shared" si="49"/>
        <v>EJECUTADO</v>
      </c>
      <c r="R90" s="64" t="str">
        <f t="shared" si="49"/>
        <v>EJECUTADO</v>
      </c>
      <c r="S90" s="64" t="str">
        <f t="shared" si="49"/>
        <v>EJECUTADO</v>
      </c>
      <c r="T90" s="64" t="str">
        <f t="shared" si="49"/>
        <v>AÑO</v>
      </c>
      <c r="V90" s="63" t="s">
        <v>105</v>
      </c>
      <c r="W90" s="91" t="s">
        <v>80</v>
      </c>
    </row>
    <row r="91" spans="4:23" ht="21.75" customHeight="1">
      <c r="D91" s="63" t="s">
        <v>105</v>
      </c>
      <c r="E91" s="282" t="s">
        <v>79</v>
      </c>
      <c r="H91" s="65">
        <f>H63</f>
        <v>45658</v>
      </c>
      <c r="I91" s="65">
        <f t="shared" ref="I91:T91" si="50">I63</f>
        <v>45689</v>
      </c>
      <c r="J91" s="65">
        <f t="shared" si="50"/>
        <v>45717</v>
      </c>
      <c r="K91" s="65">
        <f t="shared" si="50"/>
        <v>45748</v>
      </c>
      <c r="L91" s="65">
        <f t="shared" si="50"/>
        <v>45778</v>
      </c>
      <c r="M91" s="65">
        <f t="shared" si="50"/>
        <v>45809</v>
      </c>
      <c r="N91" s="65">
        <f t="shared" si="50"/>
        <v>45839</v>
      </c>
      <c r="O91" s="65">
        <f t="shared" si="50"/>
        <v>45870</v>
      </c>
      <c r="P91" s="65">
        <f t="shared" si="50"/>
        <v>45901</v>
      </c>
      <c r="Q91" s="65">
        <f t="shared" si="50"/>
        <v>45931</v>
      </c>
      <c r="R91" s="65">
        <f t="shared" si="50"/>
        <v>45962</v>
      </c>
      <c r="S91" s="65">
        <f t="shared" si="50"/>
        <v>45992</v>
      </c>
      <c r="T91" s="92">
        <f t="shared" si="50"/>
        <v>2025</v>
      </c>
      <c r="V91" s="73" t="s">
        <v>106</v>
      </c>
      <c r="W91" s="75">
        <f>T92</f>
        <v>3710371.3790000002</v>
      </c>
    </row>
    <row r="92" spans="4:23" ht="18" customHeight="1">
      <c r="D92" s="73" t="s">
        <v>106</v>
      </c>
      <c r="E92" s="75">
        <f>E71</f>
        <v>5934134</v>
      </c>
      <c r="G92" s="14"/>
      <c r="H92" s="75">
        <f>H71</f>
        <v>0</v>
      </c>
      <c r="I92" s="75">
        <f t="shared" ref="I92:S92" si="51">I71</f>
        <v>755623.201</v>
      </c>
      <c r="J92" s="75">
        <f t="shared" si="51"/>
        <v>230139.64399999997</v>
      </c>
      <c r="K92" s="75">
        <f>K71</f>
        <v>559618.47799999989</v>
      </c>
      <c r="L92" s="75">
        <f t="shared" si="51"/>
        <v>825770.50300000014</v>
      </c>
      <c r="M92" s="75">
        <f t="shared" si="51"/>
        <v>967338.02899999998</v>
      </c>
      <c r="N92" s="75">
        <f t="shared" si="51"/>
        <v>371881.52400000003</v>
      </c>
      <c r="O92" s="75">
        <f t="shared" si="51"/>
        <v>0</v>
      </c>
      <c r="P92" s="75">
        <f t="shared" si="51"/>
        <v>0</v>
      </c>
      <c r="Q92" s="75">
        <f t="shared" si="51"/>
        <v>0</v>
      </c>
      <c r="R92" s="75">
        <f t="shared" si="51"/>
        <v>0</v>
      </c>
      <c r="S92" s="75">
        <f t="shared" si="51"/>
        <v>0</v>
      </c>
      <c r="T92" s="75">
        <f>T71</f>
        <v>3710371.3790000002</v>
      </c>
      <c r="V92" s="76" t="s">
        <v>107</v>
      </c>
      <c r="W92" s="78">
        <f>T93</f>
        <v>6503719.9010000005</v>
      </c>
    </row>
    <row r="93" spans="4:23" ht="18" customHeight="1">
      <c r="D93" s="76" t="s">
        <v>107</v>
      </c>
      <c r="E93" s="78">
        <f>E78</f>
        <v>10983679</v>
      </c>
      <c r="G93" s="14"/>
      <c r="H93" s="78">
        <f>H78</f>
        <v>0</v>
      </c>
      <c r="I93" s="78">
        <f t="shared" ref="I93:S93" si="52">I78</f>
        <v>554133.08399999992</v>
      </c>
      <c r="J93" s="78">
        <f t="shared" si="52"/>
        <v>2173807.1800000002</v>
      </c>
      <c r="K93" s="78">
        <f t="shared" si="52"/>
        <v>1317930.1080000002</v>
      </c>
      <c r="L93" s="78">
        <f t="shared" si="52"/>
        <v>1321508.3950000003</v>
      </c>
      <c r="M93" s="78">
        <f t="shared" si="52"/>
        <v>465538.565</v>
      </c>
      <c r="N93" s="78">
        <f t="shared" si="52"/>
        <v>670802.56900000002</v>
      </c>
      <c r="O93" s="78">
        <f t="shared" si="52"/>
        <v>0</v>
      </c>
      <c r="P93" s="78">
        <f t="shared" si="52"/>
        <v>0</v>
      </c>
      <c r="Q93" s="78">
        <f t="shared" si="52"/>
        <v>0</v>
      </c>
      <c r="R93" s="78">
        <f t="shared" si="52"/>
        <v>0</v>
      </c>
      <c r="S93" s="78">
        <f t="shared" si="52"/>
        <v>0</v>
      </c>
      <c r="T93" s="78">
        <f>T78</f>
        <v>6503719.9010000005</v>
      </c>
      <c r="V93" s="79" t="s">
        <v>108</v>
      </c>
      <c r="W93" s="81">
        <f>T94</f>
        <v>5148631.4840000011</v>
      </c>
    </row>
    <row r="94" spans="4:23" ht="18" customHeight="1">
      <c r="D94" s="79" t="s">
        <v>108</v>
      </c>
      <c r="E94" s="81">
        <f>E84</f>
        <v>13376078</v>
      </c>
      <c r="G94" s="14"/>
      <c r="H94" s="81">
        <f>H84</f>
        <v>0</v>
      </c>
      <c r="I94" s="81">
        <f t="shared" ref="I94:S94" si="53">I84</f>
        <v>881661.45699999994</v>
      </c>
      <c r="J94" s="81">
        <f t="shared" si="53"/>
        <v>702653.06499999994</v>
      </c>
      <c r="K94" s="81">
        <f t="shared" si="53"/>
        <v>542653.13199999998</v>
      </c>
      <c r="L94" s="81">
        <f t="shared" si="53"/>
        <v>1320466.4320000003</v>
      </c>
      <c r="M94" s="67">
        <f t="shared" si="53"/>
        <v>892567.13600000006</v>
      </c>
      <c r="N94" s="67">
        <f t="shared" si="53"/>
        <v>808630.2620000001</v>
      </c>
      <c r="O94" s="67">
        <f t="shared" si="53"/>
        <v>0</v>
      </c>
      <c r="P94" s="67">
        <f t="shared" si="53"/>
        <v>0</v>
      </c>
      <c r="Q94" s="67">
        <f t="shared" si="53"/>
        <v>0</v>
      </c>
      <c r="R94" s="67">
        <f t="shared" si="53"/>
        <v>0</v>
      </c>
      <c r="S94" s="67">
        <f t="shared" si="53"/>
        <v>0</v>
      </c>
      <c r="T94" s="81">
        <f>T84</f>
        <v>5148631.4840000011</v>
      </c>
      <c r="V94" s="88" t="s">
        <v>102</v>
      </c>
      <c r="W94" s="90">
        <f>T95</f>
        <v>4860011.7039999999</v>
      </c>
    </row>
    <row r="95" spans="4:23" ht="18" customHeight="1">
      <c r="D95" s="88" t="s">
        <v>102</v>
      </c>
      <c r="E95" s="90">
        <f>E85</f>
        <v>13875231</v>
      </c>
      <c r="G95" s="14"/>
      <c r="H95" s="90">
        <f>H85</f>
        <v>0</v>
      </c>
      <c r="I95" s="90">
        <f t="shared" ref="I95:S95" si="54">I85</f>
        <v>725227.07400000002</v>
      </c>
      <c r="J95" s="90">
        <f t="shared" si="54"/>
        <v>462981.01400000002</v>
      </c>
      <c r="K95" s="90">
        <f t="shared" si="54"/>
        <v>278281.08400000003</v>
      </c>
      <c r="L95" s="90">
        <f t="shared" si="54"/>
        <v>865210.87300000002</v>
      </c>
      <c r="M95" s="90">
        <f>M85</f>
        <v>635816.94700000004</v>
      </c>
      <c r="N95" s="90">
        <f t="shared" si="54"/>
        <v>1892494.7120000001</v>
      </c>
      <c r="O95" s="90">
        <f t="shared" si="54"/>
        <v>0</v>
      </c>
      <c r="P95" s="90">
        <f t="shared" si="54"/>
        <v>0</v>
      </c>
      <c r="Q95" s="90">
        <f t="shared" si="54"/>
        <v>0</v>
      </c>
      <c r="R95" s="90">
        <f t="shared" si="54"/>
        <v>0</v>
      </c>
      <c r="S95" s="90">
        <f t="shared" si="54"/>
        <v>0</v>
      </c>
      <c r="T95" s="90">
        <f>T85</f>
        <v>4860011.7039999999</v>
      </c>
      <c r="V95" s="69" t="s">
        <v>109</v>
      </c>
      <c r="W95" s="51">
        <f>SUM(W91:W94)</f>
        <v>20222734.468000002</v>
      </c>
    </row>
    <row r="96" spans="4:23" ht="18" customHeight="1">
      <c r="D96" s="69" t="s">
        <v>109</v>
      </c>
      <c r="E96" s="51">
        <f>SUM(E92:E95)</f>
        <v>44169122</v>
      </c>
      <c r="G96" s="14"/>
      <c r="H96" s="51">
        <f>SUM(H92:H95)</f>
        <v>0</v>
      </c>
      <c r="I96" s="51">
        <f t="shared" ref="I96:S96" si="55">SUM(I92:I95)</f>
        <v>2916644.8159999996</v>
      </c>
      <c r="J96" s="51">
        <f t="shared" si="55"/>
        <v>3569580.9029999999</v>
      </c>
      <c r="K96" s="51">
        <f t="shared" si="55"/>
        <v>2698482.8020000001</v>
      </c>
      <c r="L96" s="51">
        <f t="shared" si="55"/>
        <v>4332956.2030000007</v>
      </c>
      <c r="M96" s="51">
        <f t="shared" si="55"/>
        <v>2961260.6770000001</v>
      </c>
      <c r="N96" s="51">
        <f t="shared" si="55"/>
        <v>3743809.0670000003</v>
      </c>
      <c r="O96" s="51">
        <f t="shared" si="55"/>
        <v>0</v>
      </c>
      <c r="P96" s="51">
        <f t="shared" si="55"/>
        <v>0</v>
      </c>
      <c r="Q96" s="51">
        <f t="shared" si="55"/>
        <v>0</v>
      </c>
      <c r="R96" s="51">
        <f t="shared" si="55"/>
        <v>0</v>
      </c>
      <c r="S96" s="51">
        <f t="shared" si="55"/>
        <v>0</v>
      </c>
      <c r="T96" s="51">
        <f>SUM(T92:T95)</f>
        <v>20222734.468000002</v>
      </c>
    </row>
    <row r="97" spans="3:22" ht="18" customHeight="1">
      <c r="E97" s="4"/>
      <c r="F97" s="3"/>
      <c r="G97" s="3"/>
      <c r="H97" s="309" t="s">
        <v>104</v>
      </c>
      <c r="I97" s="309"/>
      <c r="J97" s="309"/>
      <c r="K97" s="309"/>
      <c r="L97" s="309"/>
      <c r="M97" s="309"/>
      <c r="N97" s="309"/>
      <c r="O97" s="309"/>
      <c r="P97" s="3"/>
      <c r="Q97" s="3"/>
      <c r="R97" s="3"/>
      <c r="S97" s="3"/>
      <c r="T97" s="3"/>
      <c r="U97" s="3"/>
    </row>
    <row r="98" spans="3:22" ht="18" customHeight="1">
      <c r="H98" s="82">
        <f>H96-H86</f>
        <v>0</v>
      </c>
      <c r="I98" s="82">
        <f>I96-I86</f>
        <v>0</v>
      </c>
      <c r="J98" s="82">
        <f t="shared" ref="J98:T98" si="56">J96-J86</f>
        <v>0</v>
      </c>
      <c r="K98" s="82">
        <f t="shared" si="56"/>
        <v>0</v>
      </c>
      <c r="L98" s="82">
        <f t="shared" si="56"/>
        <v>0</v>
      </c>
      <c r="M98" s="82">
        <f t="shared" si="56"/>
        <v>0</v>
      </c>
      <c r="N98" s="82">
        <f t="shared" si="56"/>
        <v>0</v>
      </c>
      <c r="O98" s="82">
        <f t="shared" si="56"/>
        <v>0</v>
      </c>
      <c r="P98" s="82">
        <f t="shared" si="56"/>
        <v>0</v>
      </c>
      <c r="Q98" s="82">
        <f t="shared" si="56"/>
        <v>0</v>
      </c>
      <c r="R98" s="82">
        <f t="shared" si="56"/>
        <v>0</v>
      </c>
      <c r="S98" s="82">
        <f t="shared" si="56"/>
        <v>0</v>
      </c>
      <c r="T98" s="82">
        <f t="shared" si="56"/>
        <v>0</v>
      </c>
      <c r="U98" s="82"/>
      <c r="V98" s="93"/>
    </row>
    <row r="99" spans="3:22">
      <c r="D99" s="52"/>
    </row>
    <row r="100" spans="3:22" ht="35.25" customHeight="1">
      <c r="C100" s="52"/>
      <c r="D100" s="64" t="s">
        <v>110</v>
      </c>
      <c r="E100" s="64" t="s">
        <v>111</v>
      </c>
    </row>
    <row r="101" spans="3:22" ht="16.5" customHeight="1">
      <c r="C101" s="95">
        <v>2012</v>
      </c>
      <c r="D101" s="10">
        <v>2012</v>
      </c>
      <c r="E101" s="13">
        <f>SUMIFS('2025 FNDR'!$P$4:$P$470,'2025 FNDR'!$I$4:$I$470,'2025 RESUMEN'!D101)</f>
        <v>1224.73</v>
      </c>
      <c r="F101" s="139">
        <f t="shared" ref="F101:F115" si="57">E101/$E$115</f>
        <v>6.0562037341586278E-5</v>
      </c>
    </row>
    <row r="102" spans="3:22" ht="16.5" customHeight="1">
      <c r="C102" s="95">
        <v>2013</v>
      </c>
      <c r="D102" s="10">
        <v>2013</v>
      </c>
      <c r="E102" s="13">
        <f>SUMIFS('2025 FNDR'!$P$4:$P$470,'2025 FNDR'!$I$4:$I$470,'2025 RESUMEN'!D102)</f>
        <v>0</v>
      </c>
      <c r="F102" s="139">
        <f t="shared" si="57"/>
        <v>0</v>
      </c>
    </row>
    <row r="103" spans="3:22" ht="16.5" customHeight="1">
      <c r="C103" s="95">
        <v>2014</v>
      </c>
      <c r="D103" s="10">
        <v>2014</v>
      </c>
      <c r="E103" s="13">
        <f>SUMIFS('2025 FNDR'!$P$4:$P$470,'2025 FNDR'!$I$4:$I$470,'2025 RESUMEN'!D103)</f>
        <v>0</v>
      </c>
      <c r="F103" s="139">
        <f t="shared" si="57"/>
        <v>0</v>
      </c>
    </row>
    <row r="104" spans="3:22" ht="16.5" customHeight="1">
      <c r="C104" s="95">
        <v>2015</v>
      </c>
      <c r="D104" s="10">
        <v>2015</v>
      </c>
      <c r="E104" s="13">
        <f>SUMIFS('2025 FNDR'!$P$4:$P$470,'2025 FNDR'!$I$4:$I$470,'2025 RESUMEN'!D104)</f>
        <v>0</v>
      </c>
      <c r="F104" s="139">
        <f t="shared" si="57"/>
        <v>0</v>
      </c>
    </row>
    <row r="105" spans="3:22" ht="16.5" customHeight="1">
      <c r="C105" s="95">
        <v>2016</v>
      </c>
      <c r="D105" s="10">
        <v>2016</v>
      </c>
      <c r="E105" s="13">
        <f>SUMIFS('2025 FNDR'!$P$4:$P$470,'2025 FNDR'!$I$4:$I$470,'2025 RESUMEN'!D105)</f>
        <v>0</v>
      </c>
      <c r="F105" s="139">
        <f t="shared" si="57"/>
        <v>0</v>
      </c>
    </row>
    <row r="106" spans="3:22" ht="16.5" customHeight="1">
      <c r="C106" s="95">
        <v>2017</v>
      </c>
      <c r="D106" s="10">
        <v>2017</v>
      </c>
      <c r="E106" s="13">
        <f>SUMIFS('2025 FNDR'!$P$4:$P$470,'2025 FNDR'!$I$4:$I$470,'2025 RESUMEN'!D106)</f>
        <v>0</v>
      </c>
      <c r="F106" s="139">
        <f t="shared" si="57"/>
        <v>0</v>
      </c>
    </row>
    <row r="107" spans="3:22" ht="16.5" customHeight="1">
      <c r="C107" s="95">
        <v>2018</v>
      </c>
      <c r="D107" s="10">
        <v>2018</v>
      </c>
      <c r="E107" s="13">
        <f>SUMIFS('2025 FNDR'!$P$4:$P$470,'2025 FNDR'!$I$4:$I$470,'2025 RESUMEN'!D107)</f>
        <v>2375865.7250000001</v>
      </c>
      <c r="F107" s="139">
        <f t="shared" si="57"/>
        <v>0.11748488953160693</v>
      </c>
      <c r="R107" s="25"/>
      <c r="S107" s="25"/>
    </row>
    <row r="108" spans="3:22" ht="16.5" customHeight="1">
      <c r="C108" s="95">
        <v>2019</v>
      </c>
      <c r="D108" s="10">
        <v>2019</v>
      </c>
      <c r="E108" s="13">
        <f>SUMIFS('2025 FNDR'!$P$4:$P$470,'2025 FNDR'!$I$4:$I$470,'2025 RESUMEN'!D108)</f>
        <v>1114747.0689999999</v>
      </c>
      <c r="F108" s="139">
        <f t="shared" si="57"/>
        <v>5.5123458737192564E-2</v>
      </c>
      <c r="R108" s="25"/>
      <c r="S108" s="25"/>
    </row>
    <row r="109" spans="3:22" ht="16.5" customHeight="1">
      <c r="C109" s="143" t="s">
        <v>112</v>
      </c>
      <c r="D109" s="10">
        <v>2020</v>
      </c>
      <c r="E109" s="13">
        <f>SUMIFS('2025 FNDR'!$P$4:$P$470,'2025 FNDR'!$I$4:$I$470,'2025 RESUMEN'!D109)</f>
        <v>528081.59299999999</v>
      </c>
      <c r="F109" s="139">
        <f t="shared" si="57"/>
        <v>2.6113263457799161E-2</v>
      </c>
      <c r="R109" s="25"/>
      <c r="S109" s="25"/>
    </row>
    <row r="110" spans="3:22" ht="16.5" customHeight="1">
      <c r="C110" s="143" t="s">
        <v>113</v>
      </c>
      <c r="D110" s="10">
        <v>2021</v>
      </c>
      <c r="E110" s="13">
        <f>SUMIFS('2025 FNDR'!$P$4:$P$470,'2025 FNDR'!$I$4:$I$470,'2025 RESUMEN'!D110)</f>
        <v>3499244.7660000003</v>
      </c>
      <c r="F110" s="139">
        <f t="shared" si="57"/>
        <v>0.17303519321470229</v>
      </c>
      <c r="R110" s="25"/>
      <c r="S110" s="25"/>
    </row>
    <row r="111" spans="3:22" ht="16.5" customHeight="1">
      <c r="C111" s="143" t="s">
        <v>114</v>
      </c>
      <c r="D111" s="10">
        <v>2022</v>
      </c>
      <c r="E111" s="13">
        <f>SUMIFS('2025 FNDR'!$P$4:$P$470,'2025 FNDR'!$I$4:$I$470,'2025 RESUMEN'!D111)</f>
        <v>830095.14299999992</v>
      </c>
      <c r="F111" s="139">
        <f t="shared" si="57"/>
        <v>4.1047621147057227E-2</v>
      </c>
    </row>
    <row r="112" spans="3:22" ht="16.5" customHeight="1">
      <c r="C112" s="95">
        <v>2023</v>
      </c>
      <c r="D112" s="10">
        <v>2023</v>
      </c>
      <c r="E112" s="13">
        <f>SUMIFS('2025 FNDR'!$P$4:$P$470,'2025 FNDR'!$I$4:$I$470,'2025 RESUMEN'!D112)</f>
        <v>6752593.4900000002</v>
      </c>
      <c r="F112" s="139">
        <f t="shared" si="57"/>
        <v>0.3339110000522012</v>
      </c>
    </row>
    <row r="113" spans="3:8" ht="16.5" customHeight="1">
      <c r="C113" s="95">
        <v>2024</v>
      </c>
      <c r="D113" s="10">
        <v>2024</v>
      </c>
      <c r="E113" s="13">
        <f>SUMIFS('2025 FNDR'!$P$4:$P$470,'2025 FNDR'!$I$4:$I$470,'2025 RESUMEN'!D113)</f>
        <v>5020940.9520000005</v>
      </c>
      <c r="F113" s="139">
        <f t="shared" si="57"/>
        <v>0.24828199964475745</v>
      </c>
    </row>
    <row r="114" spans="3:8" ht="16.5" customHeight="1">
      <c r="C114" s="95">
        <v>2025</v>
      </c>
      <c r="D114" s="10">
        <v>2025</v>
      </c>
      <c r="E114" s="13">
        <f>SUMIFS('2025 FNDR'!$P$4:$P$470,'2025 FNDR'!$I$4:$I$470,'2025 RESUMEN'!D114)</f>
        <v>99941</v>
      </c>
      <c r="F114" s="139">
        <f t="shared" si="57"/>
        <v>4.9420121773415156E-3</v>
      </c>
    </row>
    <row r="115" spans="3:8" ht="16.5" customHeight="1">
      <c r="C115" s="44"/>
      <c r="D115" s="10" t="s">
        <v>109</v>
      </c>
      <c r="E115" s="225">
        <f>SUM(E101:E114)</f>
        <v>20222734.468000002</v>
      </c>
      <c r="F115" s="139">
        <f t="shared" si="57"/>
        <v>1</v>
      </c>
    </row>
    <row r="116" spans="3:8" ht="16.5" customHeight="1"/>
    <row r="117" spans="3:8" ht="16.5" customHeight="1"/>
    <row r="118" spans="3:8" ht="16.5" customHeight="1"/>
    <row r="119" spans="3:8" ht="16.5" customHeight="1"/>
    <row r="120" spans="3:8">
      <c r="F120"/>
    </row>
    <row r="121" spans="3:8" ht="12.75" customHeight="1">
      <c r="D121" s="42"/>
      <c r="H121" s="42"/>
    </row>
    <row r="122" spans="3:8" ht="12.75">
      <c r="D122" s="42"/>
      <c r="H122" s="42"/>
    </row>
    <row r="123" spans="3:8" ht="12.75">
      <c r="D123" s="42"/>
      <c r="E123" s="42"/>
      <c r="F123" s="42"/>
      <c r="G123" s="42"/>
      <c r="H123" s="42"/>
    </row>
    <row r="124" spans="3:8" ht="12.75">
      <c r="D124" s="42"/>
      <c r="E124" s="42"/>
      <c r="F124" s="42"/>
      <c r="G124" s="42"/>
      <c r="H124" s="42"/>
    </row>
    <row r="125" spans="3:8" ht="12.75">
      <c r="D125" s="42"/>
      <c r="E125" s="42"/>
      <c r="F125" s="42"/>
      <c r="G125" s="42"/>
      <c r="H125" s="42"/>
    </row>
    <row r="126" spans="3:8" ht="12.75">
      <c r="D126" s="42"/>
      <c r="E126" s="42"/>
      <c r="F126" s="42"/>
      <c r="G126" s="42"/>
      <c r="H126" s="42"/>
    </row>
    <row r="127" spans="3:8" ht="12.75">
      <c r="D127" s="42"/>
      <c r="E127" s="42"/>
      <c r="F127" s="42"/>
      <c r="G127" s="42"/>
      <c r="H127" s="42"/>
    </row>
    <row r="128" spans="3:8" ht="12.75">
      <c r="D128" s="42"/>
      <c r="E128" s="42"/>
      <c r="F128" s="42"/>
      <c r="G128" s="42"/>
      <c r="H128" s="42"/>
    </row>
    <row r="129" spans="4:8" ht="12.75">
      <c r="D129" s="42"/>
      <c r="E129" s="42"/>
      <c r="F129" s="42"/>
      <c r="G129" s="42"/>
      <c r="H129" s="42"/>
    </row>
    <row r="130" spans="4:8" ht="12.75">
      <c r="D130" s="42"/>
      <c r="E130" s="42"/>
      <c r="F130" s="42"/>
      <c r="G130" s="42"/>
      <c r="H130" s="42"/>
    </row>
    <row r="131" spans="4:8" ht="12.75">
      <c r="D131" s="42"/>
      <c r="E131" s="42"/>
      <c r="F131" s="42"/>
      <c r="G131" s="42"/>
      <c r="H131" s="42"/>
    </row>
    <row r="132" spans="4:8" ht="12.75">
      <c r="D132" s="42"/>
      <c r="E132" s="42"/>
      <c r="F132" s="42"/>
      <c r="G132" s="42"/>
      <c r="H132" s="42"/>
    </row>
    <row r="133" spans="4:8" ht="12.75">
      <c r="D133" s="42"/>
      <c r="E133" s="42"/>
      <c r="F133" s="42"/>
      <c r="G133" s="42"/>
      <c r="H133" s="42"/>
    </row>
    <row r="134" spans="4:8" ht="12.75">
      <c r="D134" s="42"/>
      <c r="E134" s="42"/>
      <c r="F134" s="42"/>
      <c r="G134" s="42"/>
      <c r="H134" s="42"/>
    </row>
    <row r="135" spans="4:8" ht="12.75">
      <c r="D135" s="42"/>
      <c r="E135" s="42"/>
      <c r="F135" s="42"/>
      <c r="G135" s="42"/>
      <c r="H135" s="42"/>
    </row>
    <row r="136" spans="4:8" ht="12.75">
      <c r="D136" s="42"/>
      <c r="E136" s="42"/>
      <c r="F136" s="42"/>
      <c r="G136" s="42"/>
      <c r="H136" s="42"/>
    </row>
    <row r="137" spans="4:8">
      <c r="F137"/>
    </row>
    <row r="138" spans="4:8">
      <c r="F138"/>
    </row>
    <row r="139" spans="4:8">
      <c r="F139"/>
    </row>
    <row r="140" spans="4:8">
      <c r="F140"/>
    </row>
    <row r="141" spans="4:8">
      <c r="F141"/>
    </row>
    <row r="142" spans="4:8">
      <c r="F142"/>
    </row>
    <row r="143" spans="4:8">
      <c r="F143"/>
    </row>
    <row r="144" spans="4:8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</sheetData>
  <sheetProtection algorithmName="SHA-512" hashValue="JVdGmgHbGrfEGn76hgFsSqcBml8Mo6MPz+y8E4T9rCFMqtNH0KfPKXDfw+2yK4vq1/RS7n0rQ4ip+4bv/Pae5Q==" saltValue="F/RatIWGaV5FlfEcYp/mwQ==" spinCount="100000" sheet="1" objects="1" scenarios="1"/>
  <mergeCells count="7">
    <mergeCell ref="B3:F3"/>
    <mergeCell ref="F57:G57"/>
    <mergeCell ref="G59:L59"/>
    <mergeCell ref="H97:O97"/>
    <mergeCell ref="F54:G54"/>
    <mergeCell ref="H87:Q87"/>
    <mergeCell ref="D35:G35"/>
  </mergeCells>
  <conditionalFormatting sqref="H88:T88 H98:T98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ignoredErrors>
    <ignoredError sqref="C109:C1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254"/>
  <sheetViews>
    <sheetView zoomScale="90" zoomScaleNormal="90" zoomScaleSheetLayoutView="90" workbookViewId="0">
      <pane ySplit="4" topLeftCell="A155" activePane="bottomLeft" state="frozen"/>
      <selection pane="bottomLeft" activeCell="F163" sqref="F163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02" customWidth="1"/>
    <col min="4" max="4" width="5.28515625" style="202" hidden="1" customWidth="1"/>
    <col min="5" max="5" width="15" style="6" customWidth="1"/>
    <col min="6" max="6" width="40.7109375" style="2" customWidth="1"/>
    <col min="7" max="7" width="14.28515625" style="6" customWidth="1"/>
    <col min="8" max="8" width="18.140625" style="6" customWidth="1"/>
    <col min="9" max="10" width="10" style="6" customWidth="1"/>
    <col min="11" max="11" width="12.5703125" style="135" customWidth="1"/>
    <col min="12" max="12" width="21" style="6" customWidth="1"/>
    <col min="13" max="13" width="19" style="6" customWidth="1"/>
    <col min="14" max="14" width="16.42578125" style="2" customWidth="1"/>
    <col min="15" max="15" width="16.140625" style="119" customWidth="1"/>
    <col min="16" max="16" width="17.42578125" style="2" customWidth="1"/>
    <col min="17" max="17" width="13.85546875" style="2" hidden="1" customWidth="1"/>
    <col min="18" max="18" width="13.5703125" style="2" hidden="1" customWidth="1"/>
    <col min="19" max="19" width="15.7109375" style="2" hidden="1" customWidth="1"/>
    <col min="20" max="20" width="14.140625" style="145" hidden="1" customWidth="1"/>
    <col min="21" max="21" width="15.5703125" style="2" hidden="1" customWidth="1"/>
    <col min="22" max="22" width="18.28515625" style="2" hidden="1" customWidth="1"/>
    <col min="23" max="23" width="15.5703125" style="2" customWidth="1"/>
    <col min="24" max="24" width="14.5703125" style="2" customWidth="1"/>
    <col min="25" max="25" width="13.85546875" style="2" customWidth="1"/>
    <col min="26" max="26" width="15.140625" style="149" customWidth="1"/>
    <col min="27" max="27" width="13.7109375" style="2" customWidth="1"/>
    <col min="28" max="28" width="15.85546875" style="268" customWidth="1"/>
    <col min="29" max="35" width="11.42578125" style="2" bestFit="1" customWidth="1"/>
    <col min="36" max="16384" width="11.42578125" style="2"/>
  </cols>
  <sheetData>
    <row r="1" spans="1:28">
      <c r="A1" s="266" t="s">
        <v>115</v>
      </c>
      <c r="B1" s="153"/>
      <c r="C1" s="214"/>
      <c r="D1" s="213"/>
      <c r="E1" s="248"/>
      <c r="F1" s="214"/>
      <c r="G1" s="1"/>
      <c r="H1" s="1"/>
      <c r="K1" s="6"/>
      <c r="M1" s="1"/>
      <c r="N1" s="1"/>
      <c r="O1" s="249"/>
      <c r="P1" s="1"/>
      <c r="Q1" s="6"/>
      <c r="R1" s="1"/>
      <c r="S1" s="6"/>
      <c r="T1" s="253"/>
      <c r="U1" s="1"/>
      <c r="V1" s="1"/>
      <c r="W1" s="6"/>
    </row>
    <row r="2" spans="1:28" ht="51">
      <c r="A2" s="267" t="s">
        <v>116</v>
      </c>
      <c r="B2" s="214"/>
      <c r="C2" s="214"/>
      <c r="D2" s="213"/>
      <c r="E2" s="248"/>
      <c r="F2" s="214"/>
      <c r="G2" s="248"/>
      <c r="K2" s="6"/>
      <c r="N2" s="133" t="s">
        <v>117</v>
      </c>
      <c r="O2" s="134" t="str">
        <f>O4</f>
        <v>ASIGNADO M$ 2025</v>
      </c>
      <c r="P2" s="134" t="s">
        <v>118</v>
      </c>
      <c r="Q2" s="109" t="s">
        <v>3</v>
      </c>
      <c r="R2" s="101" t="s">
        <v>3</v>
      </c>
      <c r="S2" s="101" t="s">
        <v>3</v>
      </c>
      <c r="T2" s="144" t="s">
        <v>3</v>
      </c>
      <c r="U2" s="101" t="s">
        <v>3</v>
      </c>
      <c r="V2" s="101" t="s">
        <v>3</v>
      </c>
      <c r="W2" s="101" t="s">
        <v>3</v>
      </c>
      <c r="X2" s="101" t="s">
        <v>3</v>
      </c>
      <c r="Y2" s="101" t="s">
        <v>3</v>
      </c>
      <c r="Z2" s="148" t="s">
        <v>3</v>
      </c>
      <c r="AA2" s="101" t="s">
        <v>3</v>
      </c>
      <c r="AB2" s="148" t="s">
        <v>3</v>
      </c>
    </row>
    <row r="3" spans="1:28" ht="15">
      <c r="F3" s="2" t="s">
        <v>119</v>
      </c>
      <c r="K3" s="6"/>
      <c r="N3" s="254">
        <f>SUBTOTAL(9,N5:N463)</f>
        <v>98218095</v>
      </c>
      <c r="O3" s="254">
        <f>SUBTOTAL(9,O5:O463)</f>
        <v>72561288.217000008</v>
      </c>
      <c r="P3" s="254">
        <f>SUBTOTAL(9,P5:P463)</f>
        <v>23005623.971000005</v>
      </c>
      <c r="Q3" s="255">
        <f t="shared" ref="Q3:AB3" si="0">SUBTOTAL(9,Q5:Q465)</f>
        <v>2782889.503</v>
      </c>
      <c r="R3" s="255">
        <f t="shared" si="0"/>
        <v>2916644.8160000001</v>
      </c>
      <c r="S3" s="255">
        <f t="shared" si="0"/>
        <v>3569580.9029999999</v>
      </c>
      <c r="T3" s="255">
        <f t="shared" si="0"/>
        <v>2698482.8020000006</v>
      </c>
      <c r="U3" s="255">
        <f t="shared" si="0"/>
        <v>4332956.2030000007</v>
      </c>
      <c r="V3" s="255">
        <f t="shared" si="0"/>
        <v>2961260.6770000001</v>
      </c>
      <c r="W3" s="255">
        <f t="shared" si="0"/>
        <v>3743809.0669999998</v>
      </c>
      <c r="X3" s="255">
        <f t="shared" si="0"/>
        <v>0</v>
      </c>
      <c r="Y3" s="255">
        <f t="shared" si="0"/>
        <v>0</v>
      </c>
      <c r="Z3" s="255">
        <f t="shared" si="0"/>
        <v>0</v>
      </c>
      <c r="AA3" s="255">
        <f t="shared" si="0"/>
        <v>0</v>
      </c>
      <c r="AB3" s="255">
        <f t="shared" si="0"/>
        <v>0</v>
      </c>
    </row>
    <row r="4" spans="1:28" ht="51">
      <c r="A4" s="100" t="s">
        <v>120</v>
      </c>
      <c r="B4" s="100" t="s">
        <v>121</v>
      </c>
      <c r="C4" s="100" t="s">
        <v>5</v>
      </c>
      <c r="D4" s="100" t="s">
        <v>122</v>
      </c>
      <c r="E4" s="100" t="s">
        <v>123</v>
      </c>
      <c r="F4" s="100" t="s">
        <v>124</v>
      </c>
      <c r="G4" s="100" t="s">
        <v>78</v>
      </c>
      <c r="H4" s="100" t="s">
        <v>125</v>
      </c>
      <c r="I4" s="100" t="s">
        <v>110</v>
      </c>
      <c r="J4" s="100" t="s">
        <v>126</v>
      </c>
      <c r="K4" s="233" t="s">
        <v>127</v>
      </c>
      <c r="L4" s="100" t="s">
        <v>128</v>
      </c>
      <c r="M4" s="100" t="s">
        <v>129</v>
      </c>
      <c r="N4" s="234" t="s">
        <v>117</v>
      </c>
      <c r="O4" s="134" t="s">
        <v>130</v>
      </c>
      <c r="P4" s="277" t="s">
        <v>118</v>
      </c>
      <c r="Q4" s="238">
        <v>45658</v>
      </c>
      <c r="R4" s="238">
        <v>45689</v>
      </c>
      <c r="S4" s="238">
        <v>45717</v>
      </c>
      <c r="T4" s="238">
        <v>45748</v>
      </c>
      <c r="U4" s="238">
        <v>45778</v>
      </c>
      <c r="V4" s="238">
        <v>45809</v>
      </c>
      <c r="W4" s="238">
        <v>45839</v>
      </c>
      <c r="X4" s="238">
        <v>45870</v>
      </c>
      <c r="Y4" s="238">
        <v>45901</v>
      </c>
      <c r="Z4" s="238">
        <v>45931</v>
      </c>
      <c r="AA4" s="238">
        <v>45962</v>
      </c>
      <c r="AB4" s="238">
        <v>45992</v>
      </c>
    </row>
    <row r="5" spans="1:28" ht="37.5" customHeight="1">
      <c r="A5" s="102">
        <v>30124513</v>
      </c>
      <c r="B5" s="102">
        <v>31</v>
      </c>
      <c r="C5" s="98" t="s">
        <v>30</v>
      </c>
      <c r="D5" s="301">
        <v>0</v>
      </c>
      <c r="E5" s="96" t="s">
        <v>131</v>
      </c>
      <c r="F5" s="103" t="s">
        <v>132</v>
      </c>
      <c r="G5" s="96" t="s">
        <v>81</v>
      </c>
      <c r="H5" s="96" t="s">
        <v>133</v>
      </c>
      <c r="I5" s="96">
        <v>2018</v>
      </c>
      <c r="J5" s="96">
        <v>9061</v>
      </c>
      <c r="K5" s="137">
        <v>7261929</v>
      </c>
      <c r="L5" s="96" t="s">
        <v>134</v>
      </c>
      <c r="M5" s="100" t="s">
        <v>131</v>
      </c>
      <c r="N5" s="110">
        <v>254000</v>
      </c>
      <c r="O5" s="110">
        <v>259531</v>
      </c>
      <c r="P5" s="110">
        <f t="shared" ref="P5:P56" si="1">SUM(Q5:AB5)</f>
        <v>0</v>
      </c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ht="24">
      <c r="A6" s="219">
        <v>30064663</v>
      </c>
      <c r="B6" s="102">
        <v>31</v>
      </c>
      <c r="C6" s="98" t="s">
        <v>30</v>
      </c>
      <c r="D6" s="96">
        <v>0</v>
      </c>
      <c r="E6" s="96" t="s">
        <v>131</v>
      </c>
      <c r="F6" s="103" t="s">
        <v>136</v>
      </c>
      <c r="G6" s="96" t="s">
        <v>90</v>
      </c>
      <c r="H6" s="96" t="s">
        <v>133</v>
      </c>
      <c r="I6" s="96">
        <v>2021</v>
      </c>
      <c r="J6" s="96">
        <v>11216</v>
      </c>
      <c r="K6" s="137">
        <v>9131052</v>
      </c>
      <c r="L6" s="96" t="s">
        <v>137</v>
      </c>
      <c r="M6" s="100" t="s">
        <v>131</v>
      </c>
      <c r="N6" s="110">
        <v>1487868.2229999998</v>
      </c>
      <c r="O6" s="110">
        <v>655003</v>
      </c>
      <c r="P6" s="110">
        <f t="shared" si="1"/>
        <v>533845.36499999999</v>
      </c>
      <c r="Q6" s="110"/>
      <c r="R6" s="110"/>
      <c r="S6" s="110">
        <v>370284.55200000003</v>
      </c>
      <c r="T6" s="110">
        <v>21011.883999999998</v>
      </c>
      <c r="U6" s="110">
        <v>12116.782999999999</v>
      </c>
      <c r="V6" s="110">
        <v>130432.14599999999</v>
      </c>
      <c r="W6" s="110"/>
      <c r="X6" s="110"/>
      <c r="Y6" s="110"/>
      <c r="Z6" s="110"/>
      <c r="AA6" s="110"/>
      <c r="AB6" s="110"/>
    </row>
    <row r="7" spans="1:28" ht="36">
      <c r="A7" s="219">
        <v>30124440</v>
      </c>
      <c r="B7" s="102">
        <v>31</v>
      </c>
      <c r="C7" s="98" t="s">
        <v>30</v>
      </c>
      <c r="D7" s="96">
        <v>0</v>
      </c>
      <c r="E7" s="96" t="s">
        <v>138</v>
      </c>
      <c r="F7" s="103" t="s">
        <v>139</v>
      </c>
      <c r="G7" s="96" t="s">
        <v>81</v>
      </c>
      <c r="H7" s="96" t="s">
        <v>140</v>
      </c>
      <c r="I7" s="96">
        <v>2018</v>
      </c>
      <c r="J7" s="96">
        <v>9636</v>
      </c>
      <c r="K7" s="137">
        <v>82682</v>
      </c>
      <c r="L7" s="96" t="s">
        <v>141</v>
      </c>
      <c r="M7" s="100" t="s">
        <v>131</v>
      </c>
      <c r="N7" s="110">
        <v>7700</v>
      </c>
      <c r="O7" s="110">
        <v>7640</v>
      </c>
      <c r="P7" s="110">
        <f t="shared" si="1"/>
        <v>0</v>
      </c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</row>
    <row r="8" spans="1:28" ht="24">
      <c r="A8" s="219">
        <v>30109140</v>
      </c>
      <c r="B8" s="102">
        <v>31</v>
      </c>
      <c r="C8" s="98" t="s">
        <v>30</v>
      </c>
      <c r="D8" s="96">
        <v>0</v>
      </c>
      <c r="E8" s="96" t="s">
        <v>131</v>
      </c>
      <c r="F8" s="103" t="s">
        <v>142</v>
      </c>
      <c r="G8" s="96" t="s">
        <v>82</v>
      </c>
      <c r="H8" s="96" t="s">
        <v>143</v>
      </c>
      <c r="I8" s="96">
        <v>2016</v>
      </c>
      <c r="J8" s="96">
        <v>8156</v>
      </c>
      <c r="K8" s="137">
        <v>5348180</v>
      </c>
      <c r="L8" s="96" t="s">
        <v>134</v>
      </c>
      <c r="M8" s="100" t="s">
        <v>144</v>
      </c>
      <c r="N8" s="110">
        <v>127000</v>
      </c>
      <c r="O8" s="110"/>
      <c r="P8" s="110">
        <f t="shared" si="1"/>
        <v>0</v>
      </c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28" ht="24">
      <c r="A9" s="219">
        <v>40006784</v>
      </c>
      <c r="B9" s="102">
        <v>31</v>
      </c>
      <c r="C9" s="98" t="s">
        <v>30</v>
      </c>
      <c r="D9" s="96">
        <v>0</v>
      </c>
      <c r="E9" s="96" t="s">
        <v>131</v>
      </c>
      <c r="F9" s="103" t="s">
        <v>145</v>
      </c>
      <c r="G9" s="96" t="s">
        <v>82</v>
      </c>
      <c r="H9" s="96" t="s">
        <v>146</v>
      </c>
      <c r="I9" s="96">
        <v>2019</v>
      </c>
      <c r="J9" s="96">
        <v>10023</v>
      </c>
      <c r="K9" s="137">
        <v>101933</v>
      </c>
      <c r="L9" s="96" t="s">
        <v>147</v>
      </c>
      <c r="M9" s="100" t="s">
        <v>545</v>
      </c>
      <c r="N9" s="110">
        <v>33552.89</v>
      </c>
      <c r="O9" s="110">
        <v>34000</v>
      </c>
      <c r="P9" s="110">
        <f t="shared" si="1"/>
        <v>33552.89</v>
      </c>
      <c r="Q9" s="110"/>
      <c r="R9" s="110"/>
      <c r="S9" s="110"/>
      <c r="T9" s="110"/>
      <c r="U9" s="110">
        <v>33552.89</v>
      </c>
      <c r="V9" s="110"/>
      <c r="W9" s="110"/>
      <c r="X9" s="110"/>
      <c r="Y9" s="110"/>
      <c r="Z9" s="110"/>
      <c r="AA9" s="110"/>
      <c r="AB9" s="110"/>
    </row>
    <row r="10" spans="1:28" ht="24">
      <c r="A10" s="219">
        <v>40006217</v>
      </c>
      <c r="B10" s="102">
        <v>31</v>
      </c>
      <c r="C10" s="98" t="s">
        <v>30</v>
      </c>
      <c r="D10" s="96">
        <v>0</v>
      </c>
      <c r="E10" s="96" t="s">
        <v>131</v>
      </c>
      <c r="F10" s="103" t="s">
        <v>148</v>
      </c>
      <c r="G10" s="96" t="s">
        <v>97</v>
      </c>
      <c r="H10" s="96" t="s">
        <v>149</v>
      </c>
      <c r="I10" s="96">
        <v>2019</v>
      </c>
      <c r="J10" s="96">
        <v>10023</v>
      </c>
      <c r="K10" s="137">
        <v>477747</v>
      </c>
      <c r="L10" s="96" t="s">
        <v>150</v>
      </c>
      <c r="M10" s="100" t="s">
        <v>151</v>
      </c>
      <c r="N10" s="110">
        <v>475695</v>
      </c>
      <c r="O10" s="110">
        <v>94119</v>
      </c>
      <c r="P10" s="110">
        <f t="shared" si="1"/>
        <v>0</v>
      </c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</row>
    <row r="11" spans="1:28" ht="24">
      <c r="A11" s="219">
        <v>30477535</v>
      </c>
      <c r="B11" s="102">
        <v>31</v>
      </c>
      <c r="C11" s="98" t="s">
        <v>30</v>
      </c>
      <c r="D11" s="96">
        <v>0</v>
      </c>
      <c r="E11" s="96" t="s">
        <v>131</v>
      </c>
      <c r="F11" s="103" t="s">
        <v>152</v>
      </c>
      <c r="G11" s="96" t="s">
        <v>83</v>
      </c>
      <c r="H11" s="96" t="s">
        <v>153</v>
      </c>
      <c r="I11" s="96">
        <v>2018</v>
      </c>
      <c r="J11" s="96">
        <v>9193</v>
      </c>
      <c r="K11" s="137">
        <v>969565</v>
      </c>
      <c r="L11" s="96" t="s">
        <v>134</v>
      </c>
      <c r="M11" s="100" t="s">
        <v>135</v>
      </c>
      <c r="N11" s="110">
        <v>1500</v>
      </c>
      <c r="O11" s="110">
        <v>58630</v>
      </c>
      <c r="P11" s="110">
        <f t="shared" si="1"/>
        <v>0</v>
      </c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</row>
    <row r="12" spans="1:28" ht="24">
      <c r="A12" s="219">
        <v>30484182</v>
      </c>
      <c r="B12" s="102">
        <v>31</v>
      </c>
      <c r="C12" s="98" t="s">
        <v>30</v>
      </c>
      <c r="D12" s="96">
        <v>0</v>
      </c>
      <c r="E12" s="96" t="s">
        <v>131</v>
      </c>
      <c r="F12" s="103" t="s">
        <v>154</v>
      </c>
      <c r="G12" s="96" t="s">
        <v>90</v>
      </c>
      <c r="H12" s="96" t="s">
        <v>149</v>
      </c>
      <c r="I12" s="96">
        <v>2017</v>
      </c>
      <c r="J12" s="96" t="s">
        <v>155</v>
      </c>
      <c r="K12" s="137">
        <v>547553</v>
      </c>
      <c r="L12" s="96" t="s">
        <v>156</v>
      </c>
      <c r="M12" s="100" t="s">
        <v>170</v>
      </c>
      <c r="N12" s="110">
        <v>16000</v>
      </c>
      <c r="O12" s="110"/>
      <c r="P12" s="110">
        <f t="shared" si="1"/>
        <v>0</v>
      </c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</row>
    <row r="13" spans="1:28" ht="36">
      <c r="A13" s="219">
        <v>30447522</v>
      </c>
      <c r="B13" s="96">
        <v>31</v>
      </c>
      <c r="C13" s="98" t="s">
        <v>30</v>
      </c>
      <c r="D13" s="96">
        <v>0</v>
      </c>
      <c r="E13" s="96" t="s">
        <v>131</v>
      </c>
      <c r="F13" s="103" t="s">
        <v>157</v>
      </c>
      <c r="G13" s="96" t="s">
        <v>91</v>
      </c>
      <c r="H13" s="96" t="s">
        <v>140</v>
      </c>
      <c r="I13" s="96">
        <v>2017</v>
      </c>
      <c r="J13" s="96">
        <v>8952</v>
      </c>
      <c r="K13" s="141">
        <v>3204698</v>
      </c>
      <c r="L13" s="96" t="s">
        <v>158</v>
      </c>
      <c r="M13" s="100" t="s">
        <v>131</v>
      </c>
      <c r="N13" s="110"/>
      <c r="O13" s="110"/>
      <c r="P13" s="110">
        <f t="shared" si="1"/>
        <v>0</v>
      </c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28" ht="36">
      <c r="A14" s="219">
        <v>40012802</v>
      </c>
      <c r="B14" s="102">
        <v>31</v>
      </c>
      <c r="C14" s="98" t="s">
        <v>30</v>
      </c>
      <c r="D14" s="96">
        <v>0</v>
      </c>
      <c r="E14" s="96" t="s">
        <v>131</v>
      </c>
      <c r="F14" s="103" t="s">
        <v>159</v>
      </c>
      <c r="G14" s="96" t="s">
        <v>92</v>
      </c>
      <c r="H14" s="96" t="s">
        <v>160</v>
      </c>
      <c r="I14" s="96">
        <v>2019</v>
      </c>
      <c r="J14" s="96">
        <v>10023</v>
      </c>
      <c r="K14" s="137">
        <v>1795456</v>
      </c>
      <c r="L14" s="96" t="s">
        <v>161</v>
      </c>
      <c r="M14" s="100" t="s">
        <v>165</v>
      </c>
      <c r="N14" s="110">
        <v>42000</v>
      </c>
      <c r="O14" s="110">
        <v>43852</v>
      </c>
      <c r="P14" s="110">
        <f t="shared" si="1"/>
        <v>9124.0040000000008</v>
      </c>
      <c r="Q14" s="110"/>
      <c r="R14" s="110"/>
      <c r="S14" s="110"/>
      <c r="T14" s="110"/>
      <c r="U14" s="110">
        <v>9124.0040000000008</v>
      </c>
      <c r="V14" s="110"/>
      <c r="W14" s="110"/>
      <c r="X14" s="110"/>
      <c r="Y14" s="110"/>
      <c r="Z14" s="110"/>
      <c r="AA14" s="110"/>
      <c r="AB14" s="110"/>
    </row>
    <row r="15" spans="1:28" ht="24">
      <c r="A15" s="219">
        <v>30077750</v>
      </c>
      <c r="B15" s="102">
        <v>31</v>
      </c>
      <c r="C15" s="98" t="s">
        <v>30</v>
      </c>
      <c r="D15" s="96">
        <v>0</v>
      </c>
      <c r="E15" s="96" t="s">
        <v>131</v>
      </c>
      <c r="F15" s="103" t="s">
        <v>162</v>
      </c>
      <c r="G15" s="96" t="s">
        <v>89</v>
      </c>
      <c r="H15" s="96" t="s">
        <v>133</v>
      </c>
      <c r="I15" s="96">
        <v>2014</v>
      </c>
      <c r="J15" s="96">
        <v>6456</v>
      </c>
      <c r="K15" s="137">
        <v>821595</v>
      </c>
      <c r="L15" s="96" t="s">
        <v>134</v>
      </c>
      <c r="M15" s="100" t="s">
        <v>131</v>
      </c>
      <c r="N15" s="110">
        <v>28000</v>
      </c>
      <c r="O15" s="110"/>
      <c r="P15" s="110">
        <f t="shared" si="1"/>
        <v>0</v>
      </c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</row>
    <row r="16" spans="1:28" ht="36">
      <c r="A16" s="219">
        <v>30078529</v>
      </c>
      <c r="B16" s="102">
        <v>31</v>
      </c>
      <c r="C16" s="98" t="s">
        <v>30</v>
      </c>
      <c r="D16" s="96">
        <v>0</v>
      </c>
      <c r="E16" s="96" t="s">
        <v>131</v>
      </c>
      <c r="F16" s="103" t="s">
        <v>164</v>
      </c>
      <c r="G16" s="96" t="s">
        <v>97</v>
      </c>
      <c r="H16" s="96" t="s">
        <v>160</v>
      </c>
      <c r="I16" s="96">
        <v>2012</v>
      </c>
      <c r="J16" s="96">
        <v>5393</v>
      </c>
      <c r="K16" s="137">
        <v>2550802</v>
      </c>
      <c r="L16" s="96" t="s">
        <v>150</v>
      </c>
      <c r="M16" s="100" t="s">
        <v>165</v>
      </c>
      <c r="N16" s="110"/>
      <c r="O16" s="110"/>
      <c r="P16" s="110">
        <f t="shared" si="1"/>
        <v>0</v>
      </c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</row>
    <row r="17" spans="1:28" ht="36">
      <c r="A17" s="219">
        <v>30484225</v>
      </c>
      <c r="B17" s="102">
        <v>31</v>
      </c>
      <c r="C17" s="98" t="s">
        <v>30</v>
      </c>
      <c r="D17" s="96">
        <v>0</v>
      </c>
      <c r="E17" s="96" t="s">
        <v>131</v>
      </c>
      <c r="F17" s="103" t="s">
        <v>166</v>
      </c>
      <c r="G17" s="96" t="s">
        <v>89</v>
      </c>
      <c r="H17" s="96" t="s">
        <v>133</v>
      </c>
      <c r="I17" s="96">
        <v>2022</v>
      </c>
      <c r="J17" s="96">
        <v>11932</v>
      </c>
      <c r="K17" s="137">
        <v>2438474</v>
      </c>
      <c r="L17" s="96" t="s">
        <v>167</v>
      </c>
      <c r="M17" s="100" t="s">
        <v>168</v>
      </c>
      <c r="N17" s="110">
        <v>1000</v>
      </c>
      <c r="O17" s="110">
        <v>217000</v>
      </c>
      <c r="P17" s="110">
        <f t="shared" si="1"/>
        <v>0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</row>
    <row r="18" spans="1:28" ht="24">
      <c r="A18" s="219">
        <v>40018359</v>
      </c>
      <c r="B18" s="102">
        <v>31</v>
      </c>
      <c r="C18" s="98" t="s">
        <v>30</v>
      </c>
      <c r="D18" s="96">
        <v>0</v>
      </c>
      <c r="E18" s="96" t="s">
        <v>131</v>
      </c>
      <c r="F18" s="103" t="s">
        <v>169</v>
      </c>
      <c r="G18" s="96" t="s">
        <v>83</v>
      </c>
      <c r="H18" s="96" t="s">
        <v>133</v>
      </c>
      <c r="I18" s="96">
        <v>2021</v>
      </c>
      <c r="J18" s="96">
        <v>11216</v>
      </c>
      <c r="K18" s="137">
        <v>1314627</v>
      </c>
      <c r="L18" s="96" t="s">
        <v>156</v>
      </c>
      <c r="M18" s="100" t="s">
        <v>170</v>
      </c>
      <c r="N18" s="110">
        <v>610000</v>
      </c>
      <c r="O18" s="110">
        <v>131369</v>
      </c>
      <c r="P18" s="110">
        <f t="shared" si="1"/>
        <v>0</v>
      </c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</row>
    <row r="19" spans="1:28" ht="24">
      <c r="A19" s="219">
        <v>40013615</v>
      </c>
      <c r="B19" s="102">
        <v>31</v>
      </c>
      <c r="C19" s="98" t="s">
        <v>30</v>
      </c>
      <c r="D19" s="96">
        <v>0</v>
      </c>
      <c r="E19" s="96" t="s">
        <v>131</v>
      </c>
      <c r="F19" s="103" t="s">
        <v>171</v>
      </c>
      <c r="G19" s="96" t="s">
        <v>86</v>
      </c>
      <c r="H19" s="96" t="s">
        <v>146</v>
      </c>
      <c r="I19" s="96">
        <v>2021</v>
      </c>
      <c r="J19" s="96">
        <v>11619</v>
      </c>
      <c r="K19" s="137">
        <v>2897876</v>
      </c>
      <c r="L19" s="96" t="s">
        <v>172</v>
      </c>
      <c r="M19" s="100" t="s">
        <v>131</v>
      </c>
      <c r="N19" s="110">
        <v>890000</v>
      </c>
      <c r="O19" s="110">
        <v>50800</v>
      </c>
      <c r="P19" s="110">
        <f t="shared" si="1"/>
        <v>0</v>
      </c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</row>
    <row r="20" spans="1:28" ht="36">
      <c r="A20" s="219">
        <v>40013536</v>
      </c>
      <c r="B20" s="102">
        <v>31</v>
      </c>
      <c r="C20" s="98" t="s">
        <v>30</v>
      </c>
      <c r="D20" s="96">
        <v>0</v>
      </c>
      <c r="E20" s="96" t="s">
        <v>131</v>
      </c>
      <c r="F20" s="103" t="s">
        <v>173</v>
      </c>
      <c r="G20" s="96" t="s">
        <v>82</v>
      </c>
      <c r="H20" s="96" t="s">
        <v>133</v>
      </c>
      <c r="I20" s="96">
        <v>2019</v>
      </c>
      <c r="J20" s="96">
        <v>10343</v>
      </c>
      <c r="K20" s="137">
        <v>1976482</v>
      </c>
      <c r="L20" s="96" t="s">
        <v>134</v>
      </c>
      <c r="M20" s="100" t="s">
        <v>151</v>
      </c>
      <c r="N20" s="110">
        <v>578000</v>
      </c>
      <c r="O20" s="110">
        <v>120702</v>
      </c>
      <c r="P20" s="110">
        <f t="shared" si="1"/>
        <v>5950.8010000000004</v>
      </c>
      <c r="Q20" s="110"/>
      <c r="R20" s="110"/>
      <c r="S20" s="110"/>
      <c r="T20" s="110"/>
      <c r="U20" s="110"/>
      <c r="V20" s="110"/>
      <c r="W20" s="110">
        <v>5950.8010000000004</v>
      </c>
      <c r="X20" s="110"/>
      <c r="Y20" s="110"/>
      <c r="Z20" s="110"/>
      <c r="AA20" s="110"/>
      <c r="AB20" s="110"/>
    </row>
    <row r="21" spans="1:28" ht="36">
      <c r="A21" s="219">
        <v>40011210</v>
      </c>
      <c r="B21" s="102">
        <v>31</v>
      </c>
      <c r="C21" s="98" t="s">
        <v>30</v>
      </c>
      <c r="D21" s="96">
        <v>0</v>
      </c>
      <c r="E21" s="96" t="s">
        <v>131</v>
      </c>
      <c r="F21" s="103" t="s">
        <v>174</v>
      </c>
      <c r="G21" s="96" t="s">
        <v>83</v>
      </c>
      <c r="H21" s="96" t="s">
        <v>133</v>
      </c>
      <c r="I21" s="96">
        <v>2021</v>
      </c>
      <c r="J21" s="96">
        <v>11216</v>
      </c>
      <c r="K21" s="137">
        <v>870098</v>
      </c>
      <c r="L21" s="96" t="s">
        <v>156</v>
      </c>
      <c r="M21" s="100" t="s">
        <v>168</v>
      </c>
      <c r="N21" s="110">
        <v>460000</v>
      </c>
      <c r="O21" s="110">
        <v>147703</v>
      </c>
      <c r="P21" s="110">
        <f t="shared" si="1"/>
        <v>0</v>
      </c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</row>
    <row r="22" spans="1:28" ht="24">
      <c r="A22" s="219">
        <v>30131807</v>
      </c>
      <c r="B22" s="102">
        <v>31</v>
      </c>
      <c r="C22" s="98" t="s">
        <v>30</v>
      </c>
      <c r="D22" s="96">
        <v>0</v>
      </c>
      <c r="E22" s="96" t="s">
        <v>138</v>
      </c>
      <c r="F22" s="103" t="s">
        <v>175</v>
      </c>
      <c r="G22" s="96" t="s">
        <v>82</v>
      </c>
      <c r="H22" s="96" t="s">
        <v>133</v>
      </c>
      <c r="I22" s="96">
        <v>2013</v>
      </c>
      <c r="J22" s="96">
        <v>6273</v>
      </c>
      <c r="K22" s="137">
        <v>4989981.466</v>
      </c>
      <c r="L22" s="96" t="s">
        <v>147</v>
      </c>
      <c r="M22" s="100" t="s">
        <v>176</v>
      </c>
      <c r="N22" s="110"/>
      <c r="O22" s="110"/>
      <c r="P22" s="110">
        <f t="shared" si="1"/>
        <v>0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</row>
    <row r="23" spans="1:28" ht="24">
      <c r="A23" s="219">
        <v>20169586</v>
      </c>
      <c r="B23" s="102">
        <v>31</v>
      </c>
      <c r="C23" s="98" t="s">
        <v>30</v>
      </c>
      <c r="D23" s="96">
        <v>0</v>
      </c>
      <c r="E23" s="96" t="s">
        <v>131</v>
      </c>
      <c r="F23" s="103" t="s">
        <v>177</v>
      </c>
      <c r="G23" s="96" t="s">
        <v>83</v>
      </c>
      <c r="H23" s="96" t="s">
        <v>133</v>
      </c>
      <c r="I23" s="96">
        <v>2011</v>
      </c>
      <c r="J23" s="96">
        <v>4872</v>
      </c>
      <c r="K23" s="137">
        <v>22508074.537999999</v>
      </c>
      <c r="L23" s="96" t="s">
        <v>156</v>
      </c>
      <c r="M23" s="100" t="s">
        <v>131</v>
      </c>
      <c r="N23" s="110"/>
      <c r="O23" s="110">
        <v>4611</v>
      </c>
      <c r="P23" s="110">
        <f t="shared" si="1"/>
        <v>0</v>
      </c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</row>
    <row r="24" spans="1:28" ht="24">
      <c r="A24" s="219">
        <v>30086926</v>
      </c>
      <c r="B24" s="102">
        <v>31</v>
      </c>
      <c r="C24" s="98" t="s">
        <v>30</v>
      </c>
      <c r="D24" s="96">
        <v>0</v>
      </c>
      <c r="E24" s="96" t="s">
        <v>131</v>
      </c>
      <c r="F24" s="103" t="s">
        <v>178</v>
      </c>
      <c r="G24" s="96" t="s">
        <v>96</v>
      </c>
      <c r="H24" s="96" t="s">
        <v>153</v>
      </c>
      <c r="I24" s="96">
        <v>2011</v>
      </c>
      <c r="J24" s="96">
        <v>4872</v>
      </c>
      <c r="K24" s="137">
        <v>4496649</v>
      </c>
      <c r="L24" s="96" t="s">
        <v>179</v>
      </c>
      <c r="M24" s="100" t="s">
        <v>131</v>
      </c>
      <c r="N24" s="110">
        <v>593856.41999999969</v>
      </c>
      <c r="O24" s="110">
        <v>441442</v>
      </c>
      <c r="P24" s="110">
        <f t="shared" si="1"/>
        <v>0</v>
      </c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1:28" ht="36">
      <c r="A25" s="219">
        <v>30073116</v>
      </c>
      <c r="B25" s="102">
        <v>31</v>
      </c>
      <c r="C25" s="98" t="s">
        <v>30</v>
      </c>
      <c r="D25" s="96">
        <v>0</v>
      </c>
      <c r="E25" s="96" t="s">
        <v>131</v>
      </c>
      <c r="F25" s="103" t="s">
        <v>180</v>
      </c>
      <c r="G25" s="96" t="s">
        <v>83</v>
      </c>
      <c r="H25" s="96" t="s">
        <v>160</v>
      </c>
      <c r="I25" s="96">
        <v>2010</v>
      </c>
      <c r="J25" s="96">
        <v>4481</v>
      </c>
      <c r="K25" s="137">
        <v>222958.64500000002</v>
      </c>
      <c r="L25" s="96" t="s">
        <v>156</v>
      </c>
      <c r="M25" s="100" t="s">
        <v>222</v>
      </c>
      <c r="N25" s="110"/>
      <c r="O25" s="110"/>
      <c r="P25" s="110">
        <f t="shared" si="1"/>
        <v>0</v>
      </c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</row>
    <row r="26" spans="1:28" ht="24">
      <c r="A26" s="219">
        <v>30065234</v>
      </c>
      <c r="B26" s="102">
        <v>31</v>
      </c>
      <c r="C26" s="98" t="s">
        <v>30</v>
      </c>
      <c r="D26" s="96">
        <v>0</v>
      </c>
      <c r="E26" s="96" t="s">
        <v>131</v>
      </c>
      <c r="F26" s="103" t="s">
        <v>181</v>
      </c>
      <c r="G26" s="96" t="s">
        <v>83</v>
      </c>
      <c r="H26" s="96" t="s">
        <v>182</v>
      </c>
      <c r="I26" s="96">
        <v>2011</v>
      </c>
      <c r="J26" s="96">
        <v>4872</v>
      </c>
      <c r="K26" s="137">
        <v>3819118</v>
      </c>
      <c r="L26" s="96" t="s">
        <v>156</v>
      </c>
      <c r="M26" s="100" t="s">
        <v>222</v>
      </c>
      <c r="N26" s="110"/>
      <c r="O26" s="110"/>
      <c r="P26" s="110">
        <f t="shared" si="1"/>
        <v>0</v>
      </c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</row>
    <row r="27" spans="1:28" ht="36">
      <c r="A27" s="219">
        <v>40000654</v>
      </c>
      <c r="B27" s="102">
        <v>31</v>
      </c>
      <c r="C27" s="98" t="s">
        <v>30</v>
      </c>
      <c r="D27" s="96">
        <v>0</v>
      </c>
      <c r="E27" s="96" t="s">
        <v>138</v>
      </c>
      <c r="F27" s="103" t="s">
        <v>183</v>
      </c>
      <c r="G27" s="96" t="s">
        <v>82</v>
      </c>
      <c r="H27" s="96" t="s">
        <v>184</v>
      </c>
      <c r="I27" s="96">
        <v>2022</v>
      </c>
      <c r="J27" s="96">
        <v>11932</v>
      </c>
      <c r="K27" s="137">
        <v>304408.47600000002</v>
      </c>
      <c r="L27" s="262" t="s">
        <v>147</v>
      </c>
      <c r="M27" s="100" t="s">
        <v>176</v>
      </c>
      <c r="N27" s="110">
        <v>65534.600000000006</v>
      </c>
      <c r="O27" s="110"/>
      <c r="P27" s="110">
        <f t="shared" si="1"/>
        <v>0</v>
      </c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</row>
    <row r="28" spans="1:28" ht="24">
      <c r="A28" s="219">
        <v>30484186</v>
      </c>
      <c r="B28" s="102">
        <v>31</v>
      </c>
      <c r="C28" s="217" t="s">
        <v>30</v>
      </c>
      <c r="D28" s="96">
        <v>0</v>
      </c>
      <c r="E28" s="96" t="s">
        <v>185</v>
      </c>
      <c r="F28" s="103" t="s">
        <v>186</v>
      </c>
      <c r="G28" s="96" t="s">
        <v>91</v>
      </c>
      <c r="H28" s="96" t="s">
        <v>184</v>
      </c>
      <c r="I28" s="96">
        <v>2020</v>
      </c>
      <c r="J28" s="96">
        <v>10766</v>
      </c>
      <c r="K28" s="137">
        <v>81978</v>
      </c>
      <c r="L28" s="96" t="s">
        <v>158</v>
      </c>
      <c r="M28" s="100" t="s">
        <v>176</v>
      </c>
      <c r="N28" s="110">
        <v>15671</v>
      </c>
      <c r="O28" s="110"/>
      <c r="P28" s="110">
        <f t="shared" si="1"/>
        <v>0</v>
      </c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</row>
    <row r="29" spans="1:28" ht="60">
      <c r="A29" s="219">
        <v>30484185</v>
      </c>
      <c r="B29" s="102">
        <v>31</v>
      </c>
      <c r="C29" s="98" t="s">
        <v>30</v>
      </c>
      <c r="D29" s="96">
        <v>0</v>
      </c>
      <c r="E29" s="96" t="s">
        <v>185</v>
      </c>
      <c r="F29" s="103" t="s">
        <v>187</v>
      </c>
      <c r="G29" s="96" t="s">
        <v>91</v>
      </c>
      <c r="H29" s="96" t="s">
        <v>188</v>
      </c>
      <c r="I29" s="96">
        <v>2018</v>
      </c>
      <c r="J29" s="96" t="s">
        <v>189</v>
      </c>
      <c r="K29" s="137">
        <v>79010</v>
      </c>
      <c r="L29" s="96" t="s">
        <v>158</v>
      </c>
      <c r="M29" s="100" t="s">
        <v>176</v>
      </c>
      <c r="N29" s="110">
        <v>1000</v>
      </c>
      <c r="O29" s="110"/>
      <c r="P29" s="110">
        <f t="shared" si="1"/>
        <v>0</v>
      </c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</row>
    <row r="30" spans="1:28" ht="36">
      <c r="A30" s="219">
        <v>30432172</v>
      </c>
      <c r="B30" s="102">
        <v>31</v>
      </c>
      <c r="C30" s="98" t="s">
        <v>30</v>
      </c>
      <c r="D30" s="96">
        <v>0</v>
      </c>
      <c r="E30" s="96" t="s">
        <v>131</v>
      </c>
      <c r="F30" s="103" t="s">
        <v>190</v>
      </c>
      <c r="G30" s="96" t="s">
        <v>82</v>
      </c>
      <c r="H30" s="96" t="s">
        <v>140</v>
      </c>
      <c r="I30" s="96">
        <v>2019</v>
      </c>
      <c r="J30" s="96">
        <v>10023</v>
      </c>
      <c r="K30" s="137">
        <v>6134375</v>
      </c>
      <c r="L30" s="96" t="s">
        <v>147</v>
      </c>
      <c r="M30" s="100" t="s">
        <v>151</v>
      </c>
      <c r="N30" s="110">
        <v>120000</v>
      </c>
      <c r="O30" s="110">
        <v>62000</v>
      </c>
      <c r="P30" s="110">
        <f t="shared" si="1"/>
        <v>0</v>
      </c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</row>
    <row r="31" spans="1:28" ht="36">
      <c r="A31" s="219">
        <v>30134340</v>
      </c>
      <c r="B31" s="102">
        <v>31</v>
      </c>
      <c r="C31" s="98" t="s">
        <v>30</v>
      </c>
      <c r="D31" s="96">
        <v>0</v>
      </c>
      <c r="E31" s="96" t="s">
        <v>131</v>
      </c>
      <c r="F31" s="103" t="s">
        <v>192</v>
      </c>
      <c r="G31" s="96" t="s">
        <v>97</v>
      </c>
      <c r="H31" s="96" t="s">
        <v>140</v>
      </c>
      <c r="I31" s="96">
        <v>2018</v>
      </c>
      <c r="J31" s="96">
        <v>9636</v>
      </c>
      <c r="K31" s="137">
        <v>935796</v>
      </c>
      <c r="L31" s="96" t="s">
        <v>150</v>
      </c>
      <c r="M31" s="100" t="s">
        <v>176</v>
      </c>
      <c r="N31" s="110">
        <v>51000</v>
      </c>
      <c r="O31" s="110">
        <v>1</v>
      </c>
      <c r="P31" s="110">
        <f t="shared" si="1"/>
        <v>0</v>
      </c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28" ht="24">
      <c r="A32" s="219">
        <v>40007893</v>
      </c>
      <c r="B32" s="102">
        <v>31</v>
      </c>
      <c r="C32" s="98" t="s">
        <v>30</v>
      </c>
      <c r="D32" s="96">
        <v>0</v>
      </c>
      <c r="E32" s="96" t="s">
        <v>138</v>
      </c>
      <c r="F32" s="103" t="s">
        <v>193</v>
      </c>
      <c r="G32" s="96" t="s">
        <v>85</v>
      </c>
      <c r="H32" s="96" t="s">
        <v>133</v>
      </c>
      <c r="I32" s="96">
        <v>2022</v>
      </c>
      <c r="J32" s="96">
        <v>11932</v>
      </c>
      <c r="K32" s="137">
        <v>96547</v>
      </c>
      <c r="L32" s="96" t="s">
        <v>194</v>
      </c>
      <c r="M32" s="100" t="s">
        <v>131</v>
      </c>
      <c r="N32" s="110">
        <v>66127.899999999994</v>
      </c>
      <c r="O32" s="110">
        <v>65910</v>
      </c>
      <c r="P32" s="110">
        <f t="shared" si="1"/>
        <v>18831.400000000001</v>
      </c>
      <c r="Q32" s="110"/>
      <c r="R32" s="110"/>
      <c r="S32" s="110"/>
      <c r="T32" s="110"/>
      <c r="U32" s="110">
        <v>18831.400000000001</v>
      </c>
      <c r="V32" s="110"/>
      <c r="W32" s="110"/>
      <c r="X32" s="110"/>
      <c r="Y32" s="110"/>
      <c r="Z32" s="110"/>
      <c r="AA32" s="110"/>
      <c r="AB32" s="110"/>
    </row>
    <row r="33" spans="1:28" ht="36">
      <c r="A33" s="219">
        <v>30131804</v>
      </c>
      <c r="B33" s="102">
        <v>31</v>
      </c>
      <c r="C33" s="98" t="s">
        <v>30</v>
      </c>
      <c r="D33" s="96">
        <v>0</v>
      </c>
      <c r="E33" s="98" t="s">
        <v>131</v>
      </c>
      <c r="F33" s="103" t="s">
        <v>195</v>
      </c>
      <c r="G33" s="96" t="s">
        <v>82</v>
      </c>
      <c r="H33" s="96" t="s">
        <v>140</v>
      </c>
      <c r="I33" s="96">
        <v>2017</v>
      </c>
      <c r="J33" s="96">
        <v>8952</v>
      </c>
      <c r="K33" s="137">
        <v>3092867</v>
      </c>
      <c r="L33" s="96" t="s">
        <v>147</v>
      </c>
      <c r="M33" s="100" t="s">
        <v>176</v>
      </c>
      <c r="N33" s="110">
        <v>1000</v>
      </c>
      <c r="O33" s="110"/>
      <c r="P33" s="110">
        <f t="shared" si="1"/>
        <v>0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</row>
    <row r="34" spans="1:28" ht="36">
      <c r="A34" s="219">
        <v>30275183</v>
      </c>
      <c r="B34" s="102">
        <v>31</v>
      </c>
      <c r="C34" s="98" t="s">
        <v>30</v>
      </c>
      <c r="D34" s="96">
        <v>0</v>
      </c>
      <c r="E34" s="96" t="s">
        <v>138</v>
      </c>
      <c r="F34" s="97" t="s">
        <v>196</v>
      </c>
      <c r="G34" s="96" t="s">
        <v>99</v>
      </c>
      <c r="H34" s="96" t="s">
        <v>140</v>
      </c>
      <c r="I34" s="96">
        <v>2018</v>
      </c>
      <c r="J34" s="96" t="s">
        <v>197</v>
      </c>
      <c r="K34" s="218">
        <v>66451</v>
      </c>
      <c r="L34" s="96" t="s">
        <v>198</v>
      </c>
      <c r="M34" s="100" t="s">
        <v>199</v>
      </c>
      <c r="N34" s="110">
        <v>10494</v>
      </c>
      <c r="O34" s="110"/>
      <c r="P34" s="110">
        <f t="shared" si="1"/>
        <v>0</v>
      </c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</row>
    <row r="35" spans="1:28" ht="36">
      <c r="A35" s="219">
        <v>40008745</v>
      </c>
      <c r="B35" s="102">
        <v>31</v>
      </c>
      <c r="C35" s="98" t="s">
        <v>30</v>
      </c>
      <c r="D35" s="96">
        <v>0</v>
      </c>
      <c r="E35" s="96" t="s">
        <v>131</v>
      </c>
      <c r="F35" s="103" t="s">
        <v>200</v>
      </c>
      <c r="G35" s="96" t="s">
        <v>82</v>
      </c>
      <c r="H35" s="96" t="s">
        <v>140</v>
      </c>
      <c r="I35" s="96">
        <v>2019</v>
      </c>
      <c r="J35" s="96">
        <v>10023</v>
      </c>
      <c r="K35" s="137">
        <v>3144108</v>
      </c>
      <c r="L35" s="96" t="s">
        <v>147</v>
      </c>
      <c r="M35" s="100" t="s">
        <v>241</v>
      </c>
      <c r="N35" s="110"/>
      <c r="O35" s="110"/>
      <c r="P35" s="110">
        <f t="shared" si="1"/>
        <v>0</v>
      </c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</row>
    <row r="36" spans="1:28" ht="24">
      <c r="A36" s="219">
        <v>40003156</v>
      </c>
      <c r="B36" s="96">
        <v>31</v>
      </c>
      <c r="C36" s="98" t="s">
        <v>30</v>
      </c>
      <c r="D36" s="96">
        <v>0</v>
      </c>
      <c r="E36" s="96" t="s">
        <v>138</v>
      </c>
      <c r="F36" s="103" t="s">
        <v>201</v>
      </c>
      <c r="G36" s="96" t="s">
        <v>82</v>
      </c>
      <c r="H36" s="96" t="s">
        <v>182</v>
      </c>
      <c r="I36" s="96">
        <v>2019</v>
      </c>
      <c r="J36" s="96">
        <v>9830</v>
      </c>
      <c r="K36" s="141">
        <v>104751</v>
      </c>
      <c r="L36" s="112" t="s">
        <v>147</v>
      </c>
      <c r="M36" s="100" t="s">
        <v>131</v>
      </c>
      <c r="N36" s="110">
        <v>34000</v>
      </c>
      <c r="O36" s="110">
        <v>34000</v>
      </c>
      <c r="P36" s="110">
        <f t="shared" si="1"/>
        <v>0</v>
      </c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</row>
    <row r="37" spans="1:28" ht="24">
      <c r="A37" s="219">
        <v>30010979</v>
      </c>
      <c r="B37" s="102">
        <v>31</v>
      </c>
      <c r="C37" s="98" t="s">
        <v>30</v>
      </c>
      <c r="D37" s="96">
        <v>0</v>
      </c>
      <c r="E37" s="96" t="s">
        <v>131</v>
      </c>
      <c r="F37" s="103" t="s">
        <v>202</v>
      </c>
      <c r="G37" s="96" t="s">
        <v>89</v>
      </c>
      <c r="H37" s="96" t="s">
        <v>203</v>
      </c>
      <c r="I37" s="96">
        <v>2018</v>
      </c>
      <c r="J37" s="96">
        <v>9636</v>
      </c>
      <c r="K37" s="137">
        <v>593478.44700000004</v>
      </c>
      <c r="L37" s="96" t="s">
        <v>204</v>
      </c>
      <c r="M37" s="100" t="s">
        <v>131</v>
      </c>
      <c r="N37" s="110"/>
      <c r="O37" s="110"/>
      <c r="P37" s="110">
        <f t="shared" si="1"/>
        <v>0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</row>
    <row r="38" spans="1:28" ht="24">
      <c r="A38" s="219">
        <v>30100596</v>
      </c>
      <c r="B38" s="102">
        <v>31</v>
      </c>
      <c r="C38" s="98" t="s">
        <v>30</v>
      </c>
      <c r="D38" s="96">
        <v>0</v>
      </c>
      <c r="E38" s="96" t="s">
        <v>131</v>
      </c>
      <c r="F38" s="103" t="s">
        <v>205</v>
      </c>
      <c r="G38" s="96" t="s">
        <v>92</v>
      </c>
      <c r="H38" s="96" t="s">
        <v>203</v>
      </c>
      <c r="I38" s="96">
        <v>2018</v>
      </c>
      <c r="J38" s="96">
        <v>9636</v>
      </c>
      <c r="K38" s="137">
        <v>593506</v>
      </c>
      <c r="L38" s="96" t="s">
        <v>204</v>
      </c>
      <c r="M38" s="100" t="s">
        <v>170</v>
      </c>
      <c r="N38" s="110"/>
      <c r="O38" s="110"/>
      <c r="P38" s="110">
        <f t="shared" si="1"/>
        <v>0</v>
      </c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1:28" ht="36">
      <c r="A39" s="219">
        <v>30431172</v>
      </c>
      <c r="B39" s="102">
        <v>31</v>
      </c>
      <c r="C39" s="98" t="s">
        <v>30</v>
      </c>
      <c r="D39" s="96">
        <v>0</v>
      </c>
      <c r="E39" s="96" t="s">
        <v>138</v>
      </c>
      <c r="F39" s="103" t="s">
        <v>206</v>
      </c>
      <c r="G39" s="96" t="s">
        <v>82</v>
      </c>
      <c r="H39" s="96" t="s">
        <v>184</v>
      </c>
      <c r="I39" s="96">
        <v>2018</v>
      </c>
      <c r="J39" s="96">
        <v>9060</v>
      </c>
      <c r="K39" s="137">
        <v>179096</v>
      </c>
      <c r="L39" s="96" t="s">
        <v>147</v>
      </c>
      <c r="M39" s="100" t="s">
        <v>176</v>
      </c>
      <c r="N39" s="110">
        <v>24000</v>
      </c>
      <c r="O39" s="110"/>
      <c r="P39" s="110">
        <f t="shared" si="1"/>
        <v>0</v>
      </c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</row>
    <row r="40" spans="1:28">
      <c r="A40" s="221" t="s">
        <v>207</v>
      </c>
      <c r="B40" s="102">
        <v>34</v>
      </c>
      <c r="C40" s="98" t="s">
        <v>43</v>
      </c>
      <c r="D40" s="96">
        <v>0</v>
      </c>
      <c r="E40" s="96" t="s">
        <v>207</v>
      </c>
      <c r="F40" s="103" t="s">
        <v>208</v>
      </c>
      <c r="G40" s="96" t="s">
        <v>207</v>
      </c>
      <c r="H40" s="96" t="s">
        <v>207</v>
      </c>
      <c r="I40" s="96" t="s">
        <v>207</v>
      </c>
      <c r="J40" s="96" t="s">
        <v>207</v>
      </c>
      <c r="K40" s="112" t="s">
        <v>209</v>
      </c>
      <c r="L40" s="96" t="s">
        <v>207</v>
      </c>
      <c r="M40" s="100" t="s">
        <v>209</v>
      </c>
      <c r="N40" s="110"/>
      <c r="O40" s="110">
        <v>2782889.503</v>
      </c>
      <c r="P40" s="110">
        <f t="shared" si="1"/>
        <v>2782889.503</v>
      </c>
      <c r="Q40" s="110">
        <v>2782889.503</v>
      </c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</row>
    <row r="41" spans="1:28" ht="24">
      <c r="A41" s="219">
        <v>40000508</v>
      </c>
      <c r="B41" s="102">
        <v>31</v>
      </c>
      <c r="C41" s="98" t="s">
        <v>25</v>
      </c>
      <c r="D41" s="96"/>
      <c r="E41" s="96" t="s">
        <v>131</v>
      </c>
      <c r="F41" s="103" t="s">
        <v>210</v>
      </c>
      <c r="G41" s="96" t="s">
        <v>102</v>
      </c>
      <c r="H41" s="96" t="s">
        <v>211</v>
      </c>
      <c r="I41" s="96">
        <v>2018</v>
      </c>
      <c r="J41" s="96">
        <v>9136</v>
      </c>
      <c r="K41" s="137">
        <v>307800</v>
      </c>
      <c r="L41" s="96" t="s">
        <v>212</v>
      </c>
      <c r="M41" s="100" t="s">
        <v>165</v>
      </c>
      <c r="N41" s="110"/>
      <c r="O41" s="110">
        <v>30000</v>
      </c>
      <c r="P41" s="110">
        <f t="shared" si="1"/>
        <v>29770</v>
      </c>
      <c r="Q41" s="110"/>
      <c r="R41" s="110"/>
      <c r="S41" s="110"/>
      <c r="T41" s="110"/>
      <c r="U41" s="110">
        <v>29770</v>
      </c>
      <c r="V41" s="110"/>
      <c r="W41" s="110"/>
      <c r="X41" s="110"/>
      <c r="Y41" s="110"/>
      <c r="Z41" s="110"/>
      <c r="AA41" s="110"/>
      <c r="AB41" s="110"/>
    </row>
    <row r="42" spans="1:28" ht="24">
      <c r="A42" s="221" t="s">
        <v>207</v>
      </c>
      <c r="B42" s="102">
        <v>31</v>
      </c>
      <c r="C42" s="98" t="s">
        <v>30</v>
      </c>
      <c r="D42" s="102">
        <v>0</v>
      </c>
      <c r="E42" s="96" t="s">
        <v>207</v>
      </c>
      <c r="F42" s="103" t="s">
        <v>213</v>
      </c>
      <c r="G42" s="96" t="s">
        <v>207</v>
      </c>
      <c r="H42" s="96" t="s">
        <v>207</v>
      </c>
      <c r="I42" s="96" t="s">
        <v>207</v>
      </c>
      <c r="J42" s="96" t="s">
        <v>207</v>
      </c>
      <c r="K42" s="112" t="s">
        <v>209</v>
      </c>
      <c r="L42" s="96" t="s">
        <v>207</v>
      </c>
      <c r="M42" s="100" t="s">
        <v>209</v>
      </c>
      <c r="N42" s="110">
        <v>544441.92700000003</v>
      </c>
      <c r="O42" s="110"/>
      <c r="P42" s="110">
        <f t="shared" si="1"/>
        <v>0</v>
      </c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</row>
    <row r="43" spans="1:28" ht="24">
      <c r="A43" s="219">
        <v>30097621</v>
      </c>
      <c r="B43" s="102">
        <v>31</v>
      </c>
      <c r="C43" s="98" t="s">
        <v>30</v>
      </c>
      <c r="D43" s="96">
        <v>0</v>
      </c>
      <c r="E43" s="96" t="s">
        <v>131</v>
      </c>
      <c r="F43" s="103" t="s">
        <v>215</v>
      </c>
      <c r="G43" s="96" t="s">
        <v>83</v>
      </c>
      <c r="H43" s="96" t="s">
        <v>133</v>
      </c>
      <c r="I43" s="96">
        <v>2014</v>
      </c>
      <c r="J43" s="96">
        <v>6456</v>
      </c>
      <c r="K43" s="137">
        <v>270801</v>
      </c>
      <c r="L43" s="96" t="s">
        <v>156</v>
      </c>
      <c r="M43" s="100" t="s">
        <v>131</v>
      </c>
      <c r="N43" s="110">
        <v>51160.229000000021</v>
      </c>
      <c r="O43" s="110">
        <v>8812</v>
      </c>
      <c r="P43" s="110">
        <f t="shared" si="1"/>
        <v>0</v>
      </c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</row>
    <row r="44" spans="1:28" ht="36">
      <c r="A44" s="219">
        <v>30483251</v>
      </c>
      <c r="B44" s="102">
        <v>31</v>
      </c>
      <c r="C44" s="98" t="s">
        <v>30</v>
      </c>
      <c r="D44" s="96">
        <v>0</v>
      </c>
      <c r="E44" s="96" t="s">
        <v>138</v>
      </c>
      <c r="F44" s="103" t="s">
        <v>216</v>
      </c>
      <c r="G44" s="96" t="s">
        <v>82</v>
      </c>
      <c r="H44" s="96" t="s">
        <v>160</v>
      </c>
      <c r="I44" s="96">
        <v>2017</v>
      </c>
      <c r="J44" s="96">
        <v>8952</v>
      </c>
      <c r="K44" s="137">
        <v>978318</v>
      </c>
      <c r="L44" s="96" t="s">
        <v>147</v>
      </c>
      <c r="M44" s="100" t="s">
        <v>176</v>
      </c>
      <c r="N44" s="110">
        <v>4700</v>
      </c>
      <c r="O44" s="110">
        <v>21160</v>
      </c>
      <c r="P44" s="110">
        <f t="shared" si="1"/>
        <v>0</v>
      </c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</row>
    <row r="45" spans="1:28" ht="24">
      <c r="A45" s="219">
        <v>30124186</v>
      </c>
      <c r="B45" s="102">
        <v>31</v>
      </c>
      <c r="C45" s="98" t="s">
        <v>30</v>
      </c>
      <c r="D45" s="96">
        <v>0</v>
      </c>
      <c r="E45" s="96" t="s">
        <v>131</v>
      </c>
      <c r="F45" s="103" t="s">
        <v>217</v>
      </c>
      <c r="G45" s="96" t="s">
        <v>93</v>
      </c>
      <c r="H45" s="96" t="s">
        <v>153</v>
      </c>
      <c r="I45" s="96">
        <v>2017</v>
      </c>
      <c r="J45" s="96">
        <v>8952</v>
      </c>
      <c r="K45" s="137">
        <v>1110047</v>
      </c>
      <c r="L45" s="96" t="s">
        <v>218</v>
      </c>
      <c r="M45" s="100" t="s">
        <v>176</v>
      </c>
      <c r="N45" s="110">
        <v>1000</v>
      </c>
      <c r="O45" s="110"/>
      <c r="P45" s="110">
        <f t="shared" si="1"/>
        <v>0</v>
      </c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</row>
    <row r="46" spans="1:28" ht="24">
      <c r="A46" s="219">
        <v>30150673</v>
      </c>
      <c r="B46" s="102">
        <v>31</v>
      </c>
      <c r="C46" s="98" t="s">
        <v>30</v>
      </c>
      <c r="D46" s="96">
        <v>0</v>
      </c>
      <c r="E46" s="96" t="s">
        <v>131</v>
      </c>
      <c r="F46" s="103" t="s">
        <v>219</v>
      </c>
      <c r="G46" s="96" t="s">
        <v>93</v>
      </c>
      <c r="H46" s="96" t="s">
        <v>153</v>
      </c>
      <c r="I46" s="96">
        <v>2017</v>
      </c>
      <c r="J46" s="96">
        <v>8952</v>
      </c>
      <c r="K46" s="137">
        <v>566289</v>
      </c>
      <c r="L46" s="96" t="s">
        <v>218</v>
      </c>
      <c r="M46" s="100" t="s">
        <v>176</v>
      </c>
      <c r="N46" s="110">
        <v>1000</v>
      </c>
      <c r="O46" s="110"/>
      <c r="P46" s="110">
        <f t="shared" si="1"/>
        <v>0</v>
      </c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</row>
    <row r="47" spans="1:28" ht="24">
      <c r="A47" s="219">
        <v>30086690</v>
      </c>
      <c r="B47" s="102">
        <v>31</v>
      </c>
      <c r="C47" s="98" t="s">
        <v>30</v>
      </c>
      <c r="D47" s="96">
        <v>0</v>
      </c>
      <c r="E47" s="96" t="s">
        <v>131</v>
      </c>
      <c r="F47" s="103" t="s">
        <v>220</v>
      </c>
      <c r="G47" s="96" t="s">
        <v>86</v>
      </c>
      <c r="H47" s="96" t="s">
        <v>153</v>
      </c>
      <c r="I47" s="96">
        <v>2012</v>
      </c>
      <c r="J47" s="96">
        <v>5393</v>
      </c>
      <c r="K47" s="137">
        <v>6016223</v>
      </c>
      <c r="L47" s="96" t="s">
        <v>221</v>
      </c>
      <c r="M47" s="100" t="s">
        <v>222</v>
      </c>
      <c r="N47" s="110">
        <v>15000</v>
      </c>
      <c r="O47" s="110"/>
      <c r="P47" s="110">
        <f t="shared" si="1"/>
        <v>0</v>
      </c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</row>
    <row r="48" spans="1:28" ht="36">
      <c r="A48" s="219">
        <v>40016874</v>
      </c>
      <c r="B48" s="102">
        <v>31</v>
      </c>
      <c r="C48" s="98" t="s">
        <v>30</v>
      </c>
      <c r="D48" s="96">
        <v>0</v>
      </c>
      <c r="E48" s="96" t="s">
        <v>131</v>
      </c>
      <c r="F48" s="103" t="s">
        <v>223</v>
      </c>
      <c r="G48" s="96" t="s">
        <v>98</v>
      </c>
      <c r="H48" s="96" t="s">
        <v>140</v>
      </c>
      <c r="I48" s="96">
        <v>2021</v>
      </c>
      <c r="J48" s="96">
        <v>11216</v>
      </c>
      <c r="K48" s="137">
        <v>2741445</v>
      </c>
      <c r="L48" s="262" t="s">
        <v>224</v>
      </c>
      <c r="M48" s="100" t="s">
        <v>131</v>
      </c>
      <c r="N48" s="110">
        <v>185880</v>
      </c>
      <c r="O48" s="110">
        <v>193688</v>
      </c>
      <c r="P48" s="110">
        <f t="shared" si="1"/>
        <v>0</v>
      </c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</row>
    <row r="49" spans="1:28" ht="36">
      <c r="A49" s="219">
        <v>30091815</v>
      </c>
      <c r="B49" s="102">
        <v>31</v>
      </c>
      <c r="C49" s="98" t="s">
        <v>30</v>
      </c>
      <c r="D49" s="96">
        <v>0</v>
      </c>
      <c r="E49" s="96" t="s">
        <v>131</v>
      </c>
      <c r="F49" s="103" t="s">
        <v>225</v>
      </c>
      <c r="G49" s="96" t="s">
        <v>89</v>
      </c>
      <c r="H49" s="96" t="s">
        <v>140</v>
      </c>
      <c r="I49" s="96">
        <v>2021</v>
      </c>
      <c r="J49" s="96">
        <v>11216</v>
      </c>
      <c r="K49" s="137">
        <v>5990835.1739999996</v>
      </c>
      <c r="L49" s="96" t="s">
        <v>167</v>
      </c>
      <c r="M49" s="100" t="s">
        <v>131</v>
      </c>
      <c r="N49" s="110">
        <v>2100000</v>
      </c>
      <c r="O49" s="110">
        <v>1031407</v>
      </c>
      <c r="P49" s="110">
        <f t="shared" si="1"/>
        <v>507520.14500000002</v>
      </c>
      <c r="Q49" s="110"/>
      <c r="R49" s="110"/>
      <c r="S49" s="110"/>
      <c r="T49" s="110">
        <v>183124.14600000001</v>
      </c>
      <c r="U49" s="110">
        <v>74292.066000000006</v>
      </c>
      <c r="V49" s="110">
        <v>133454.399</v>
      </c>
      <c r="W49" s="110">
        <v>116649.534</v>
      </c>
      <c r="X49" s="110"/>
      <c r="Y49" s="110"/>
      <c r="Z49" s="110"/>
      <c r="AA49" s="110"/>
      <c r="AB49" s="110"/>
    </row>
    <row r="50" spans="1:28" ht="36">
      <c r="A50" s="219">
        <v>30483947</v>
      </c>
      <c r="B50" s="96">
        <v>31</v>
      </c>
      <c r="C50" s="98" t="s">
        <v>30</v>
      </c>
      <c r="D50" s="96">
        <v>0</v>
      </c>
      <c r="E50" s="96" t="s">
        <v>131</v>
      </c>
      <c r="F50" s="103" t="s">
        <v>226</v>
      </c>
      <c r="G50" s="96" t="s">
        <v>97</v>
      </c>
      <c r="H50" s="96" t="s">
        <v>140</v>
      </c>
      <c r="I50" s="96">
        <v>2022</v>
      </c>
      <c r="J50" s="96">
        <v>12542</v>
      </c>
      <c r="K50" s="137">
        <v>560777</v>
      </c>
      <c r="L50" s="96" t="s">
        <v>224</v>
      </c>
      <c r="M50" s="100" t="s">
        <v>545</v>
      </c>
      <c r="N50" s="110">
        <v>145962.61199999996</v>
      </c>
      <c r="O50" s="110">
        <v>122873</v>
      </c>
      <c r="P50" s="110">
        <f t="shared" si="1"/>
        <v>122872.322</v>
      </c>
      <c r="Q50" s="110"/>
      <c r="R50" s="110"/>
      <c r="S50" s="110">
        <v>11001.749</v>
      </c>
      <c r="T50" s="110"/>
      <c r="U50" s="110"/>
      <c r="V50" s="110">
        <v>111870.573</v>
      </c>
      <c r="W50" s="110"/>
      <c r="X50" s="110"/>
      <c r="Y50" s="110"/>
      <c r="Z50" s="110"/>
      <c r="AA50" s="110"/>
      <c r="AB50" s="110"/>
    </row>
    <row r="51" spans="1:28" ht="36">
      <c r="A51" s="219">
        <v>30393924</v>
      </c>
      <c r="B51" s="102">
        <v>31</v>
      </c>
      <c r="C51" s="98" t="s">
        <v>30</v>
      </c>
      <c r="D51" s="96">
        <v>0</v>
      </c>
      <c r="E51" s="96" t="s">
        <v>131</v>
      </c>
      <c r="F51" s="103" t="s">
        <v>227</v>
      </c>
      <c r="G51" s="96" t="s">
        <v>93</v>
      </c>
      <c r="H51" s="96" t="s">
        <v>140</v>
      </c>
      <c r="I51" s="96">
        <v>2017</v>
      </c>
      <c r="J51" s="96">
        <v>8952</v>
      </c>
      <c r="K51" s="137">
        <v>696504</v>
      </c>
      <c r="L51" s="96" t="s">
        <v>158</v>
      </c>
      <c r="M51" s="100" t="s">
        <v>176</v>
      </c>
      <c r="N51" s="110">
        <v>1000</v>
      </c>
      <c r="O51" s="110"/>
      <c r="P51" s="110">
        <f t="shared" si="1"/>
        <v>0</v>
      </c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</row>
    <row r="52" spans="1:28" ht="24">
      <c r="A52" s="219">
        <v>40006352</v>
      </c>
      <c r="B52" s="102">
        <v>31</v>
      </c>
      <c r="C52" s="98" t="s">
        <v>30</v>
      </c>
      <c r="D52" s="96">
        <v>0</v>
      </c>
      <c r="E52" s="96" t="s">
        <v>131</v>
      </c>
      <c r="F52" s="103" t="s">
        <v>228</v>
      </c>
      <c r="G52" s="96" t="s">
        <v>91</v>
      </c>
      <c r="H52" s="96" t="s">
        <v>133</v>
      </c>
      <c r="I52" s="96">
        <v>2018</v>
      </c>
      <c r="J52" s="96">
        <v>9636</v>
      </c>
      <c r="K52" s="137">
        <v>1744116</v>
      </c>
      <c r="L52" s="96" t="s">
        <v>134</v>
      </c>
      <c r="M52" s="100" t="s">
        <v>131</v>
      </c>
      <c r="N52" s="110">
        <v>263000</v>
      </c>
      <c r="O52" s="110">
        <v>336975</v>
      </c>
      <c r="P52" s="110">
        <f t="shared" si="1"/>
        <v>61341.156000000003</v>
      </c>
      <c r="Q52" s="110"/>
      <c r="R52" s="110"/>
      <c r="S52" s="110">
        <v>30522.902999999998</v>
      </c>
      <c r="T52" s="110"/>
      <c r="U52" s="110">
        <v>30818.253000000001</v>
      </c>
      <c r="V52" s="110"/>
      <c r="W52" s="110"/>
      <c r="X52" s="110"/>
      <c r="Y52" s="110"/>
      <c r="Z52" s="110"/>
      <c r="AA52" s="110"/>
      <c r="AB52" s="110"/>
    </row>
    <row r="53" spans="1:28" ht="24">
      <c r="A53" s="219">
        <v>30073874</v>
      </c>
      <c r="B53" s="96">
        <v>31</v>
      </c>
      <c r="C53" s="98" t="s">
        <v>30</v>
      </c>
      <c r="D53" s="96">
        <v>0</v>
      </c>
      <c r="E53" s="96" t="s">
        <v>131</v>
      </c>
      <c r="F53" s="103" t="s">
        <v>229</v>
      </c>
      <c r="G53" s="96" t="s">
        <v>91</v>
      </c>
      <c r="H53" s="96" t="s">
        <v>146</v>
      </c>
      <c r="I53" s="96">
        <v>2018</v>
      </c>
      <c r="J53" s="96">
        <v>9219</v>
      </c>
      <c r="K53" s="141">
        <v>10194747</v>
      </c>
      <c r="L53" s="96" t="s">
        <v>134</v>
      </c>
      <c r="M53" s="100" t="s">
        <v>151</v>
      </c>
      <c r="N53" s="110">
        <v>684227</v>
      </c>
      <c r="O53" s="110">
        <v>1498616</v>
      </c>
      <c r="P53" s="110">
        <f t="shared" si="1"/>
        <v>905108.83699999994</v>
      </c>
      <c r="Q53" s="110"/>
      <c r="R53" s="110"/>
      <c r="S53" s="110">
        <v>871041.223</v>
      </c>
      <c r="T53" s="110"/>
      <c r="U53" s="110"/>
      <c r="V53" s="110">
        <v>5033.9939999999997</v>
      </c>
      <c r="W53" s="110">
        <v>29033.62</v>
      </c>
      <c r="X53" s="110"/>
      <c r="Y53" s="110"/>
      <c r="Z53" s="110"/>
      <c r="AA53" s="110"/>
      <c r="AB53" s="110"/>
    </row>
    <row r="54" spans="1:28" ht="36">
      <c r="A54" s="219">
        <v>30109832</v>
      </c>
      <c r="B54" s="102">
        <v>31</v>
      </c>
      <c r="C54" s="98" t="s">
        <v>30</v>
      </c>
      <c r="D54" s="96">
        <v>0</v>
      </c>
      <c r="E54" s="96" t="s">
        <v>131</v>
      </c>
      <c r="F54" s="103" t="s">
        <v>230</v>
      </c>
      <c r="G54" s="96" t="s">
        <v>90</v>
      </c>
      <c r="H54" s="96" t="s">
        <v>160</v>
      </c>
      <c r="I54" s="96">
        <v>2018</v>
      </c>
      <c r="J54" s="96">
        <v>9060</v>
      </c>
      <c r="K54" s="137">
        <v>2106707</v>
      </c>
      <c r="L54" s="96" t="s">
        <v>137</v>
      </c>
      <c r="M54" s="100" t="s">
        <v>131</v>
      </c>
      <c r="N54" s="110">
        <v>52000</v>
      </c>
      <c r="O54" s="110">
        <v>62679</v>
      </c>
      <c r="P54" s="110">
        <f t="shared" si="1"/>
        <v>16577.89</v>
      </c>
      <c r="Q54" s="110"/>
      <c r="R54" s="110"/>
      <c r="S54" s="110">
        <v>16577.89</v>
      </c>
      <c r="T54" s="110"/>
      <c r="U54" s="110"/>
      <c r="V54" s="110"/>
      <c r="W54" s="110"/>
      <c r="X54" s="110"/>
      <c r="Y54" s="110"/>
      <c r="Z54" s="110"/>
      <c r="AA54" s="110"/>
      <c r="AB54" s="110"/>
    </row>
    <row r="55" spans="1:28" ht="24">
      <c r="A55" s="219">
        <v>30484211</v>
      </c>
      <c r="B55" s="102">
        <v>31</v>
      </c>
      <c r="C55" s="98" t="s">
        <v>30</v>
      </c>
      <c r="D55" s="96">
        <v>0</v>
      </c>
      <c r="E55" s="96" t="s">
        <v>131</v>
      </c>
      <c r="F55" s="103" t="s">
        <v>231</v>
      </c>
      <c r="G55" s="96" t="s">
        <v>83</v>
      </c>
      <c r="H55" s="96" t="s">
        <v>149</v>
      </c>
      <c r="I55" s="96">
        <v>2017</v>
      </c>
      <c r="J55" s="96" t="s">
        <v>232</v>
      </c>
      <c r="K55" s="137">
        <v>1923253.675</v>
      </c>
      <c r="L55" s="96" t="s">
        <v>134</v>
      </c>
      <c r="M55" s="100" t="s">
        <v>151</v>
      </c>
      <c r="N55" s="110">
        <v>188000</v>
      </c>
      <c r="O55" s="110">
        <v>195369</v>
      </c>
      <c r="P55" s="110">
        <f t="shared" si="1"/>
        <v>0</v>
      </c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</row>
    <row r="56" spans="1:28" ht="24">
      <c r="A56" s="219">
        <v>30176672</v>
      </c>
      <c r="B56" s="102">
        <v>31</v>
      </c>
      <c r="C56" s="98" t="s">
        <v>30</v>
      </c>
      <c r="D56" s="96">
        <v>0</v>
      </c>
      <c r="E56" s="96" t="s">
        <v>131</v>
      </c>
      <c r="F56" s="103" t="s">
        <v>233</v>
      </c>
      <c r="G56" s="96" t="s">
        <v>84</v>
      </c>
      <c r="H56" s="96" t="s">
        <v>149</v>
      </c>
      <c r="I56" s="96">
        <v>2021</v>
      </c>
      <c r="J56" s="96">
        <v>11216</v>
      </c>
      <c r="K56" s="137">
        <v>533781</v>
      </c>
      <c r="L56" s="262" t="s">
        <v>234</v>
      </c>
      <c r="M56" s="100" t="s">
        <v>131</v>
      </c>
      <c r="N56" s="110">
        <v>375730</v>
      </c>
      <c r="O56" s="110">
        <v>344994</v>
      </c>
      <c r="P56" s="110">
        <f t="shared" si="1"/>
        <v>26515.195999999996</v>
      </c>
      <c r="Q56" s="110"/>
      <c r="R56" s="110"/>
      <c r="S56" s="110">
        <v>16541.794999999998</v>
      </c>
      <c r="T56" s="110"/>
      <c r="U56" s="110"/>
      <c r="V56" s="110"/>
      <c r="W56" s="110">
        <v>9973.4009999999998</v>
      </c>
      <c r="X56" s="110"/>
      <c r="Y56" s="110"/>
      <c r="Z56" s="110"/>
      <c r="AA56" s="110"/>
      <c r="AB56" s="110"/>
    </row>
    <row r="57" spans="1:28" ht="36">
      <c r="A57" s="219">
        <v>30109834</v>
      </c>
      <c r="B57" s="102">
        <v>31</v>
      </c>
      <c r="C57" s="98" t="s">
        <v>30</v>
      </c>
      <c r="D57" s="96">
        <v>0</v>
      </c>
      <c r="E57" s="96" t="s">
        <v>131</v>
      </c>
      <c r="F57" s="103" t="s">
        <v>235</v>
      </c>
      <c r="G57" s="96" t="s">
        <v>90</v>
      </c>
      <c r="H57" s="96" t="s">
        <v>160</v>
      </c>
      <c r="I57" s="96">
        <v>2018</v>
      </c>
      <c r="J57" s="96">
        <v>9060</v>
      </c>
      <c r="K57" s="137">
        <v>2744363</v>
      </c>
      <c r="L57" s="96" t="s">
        <v>134</v>
      </c>
      <c r="M57" s="100" t="s">
        <v>131</v>
      </c>
      <c r="N57" s="110">
        <v>132000</v>
      </c>
      <c r="O57" s="110">
        <v>203838</v>
      </c>
      <c r="P57" s="110">
        <f t="shared" ref="P57:P104" si="2">SUM(Q57:AB57)</f>
        <v>74290.040000000008</v>
      </c>
      <c r="Q57" s="110"/>
      <c r="R57" s="110"/>
      <c r="S57" s="110">
        <v>68317.653000000006</v>
      </c>
      <c r="T57" s="110"/>
      <c r="U57" s="110">
        <v>5972.3869999999997</v>
      </c>
      <c r="V57" s="110"/>
      <c r="W57" s="110"/>
      <c r="X57" s="110"/>
      <c r="Y57" s="110"/>
      <c r="Z57" s="110"/>
      <c r="AA57" s="110"/>
      <c r="AB57" s="110"/>
    </row>
    <row r="58" spans="1:28" ht="36">
      <c r="A58" s="219">
        <v>30084699</v>
      </c>
      <c r="B58" s="102">
        <v>31</v>
      </c>
      <c r="C58" s="98" t="s">
        <v>30</v>
      </c>
      <c r="D58" s="96">
        <v>0</v>
      </c>
      <c r="E58" s="96" t="s">
        <v>131</v>
      </c>
      <c r="F58" s="103" t="s">
        <v>236</v>
      </c>
      <c r="G58" s="96" t="s">
        <v>91</v>
      </c>
      <c r="H58" s="96" t="s">
        <v>160</v>
      </c>
      <c r="I58" s="96">
        <v>2014</v>
      </c>
      <c r="J58" s="96">
        <v>6456</v>
      </c>
      <c r="K58" s="137">
        <v>11839577</v>
      </c>
      <c r="L58" s="96" t="s">
        <v>134</v>
      </c>
      <c r="M58" s="100" t="s">
        <v>176</v>
      </c>
      <c r="N58" s="110">
        <v>1000</v>
      </c>
      <c r="O58" s="110"/>
      <c r="P58" s="110">
        <f t="shared" si="2"/>
        <v>0</v>
      </c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</row>
    <row r="59" spans="1:28" ht="48">
      <c r="A59" s="219">
        <v>40004196</v>
      </c>
      <c r="B59" s="96">
        <v>31</v>
      </c>
      <c r="C59" s="98" t="s">
        <v>30</v>
      </c>
      <c r="D59" s="96">
        <v>0</v>
      </c>
      <c r="E59" s="96" t="s">
        <v>131</v>
      </c>
      <c r="F59" s="103" t="s">
        <v>237</v>
      </c>
      <c r="G59" s="96" t="s">
        <v>90</v>
      </c>
      <c r="H59" s="96" t="s">
        <v>160</v>
      </c>
      <c r="I59" s="96">
        <v>2018</v>
      </c>
      <c r="J59" s="96">
        <v>9636</v>
      </c>
      <c r="K59" s="141">
        <v>3635065</v>
      </c>
      <c r="L59" s="112" t="s">
        <v>238</v>
      </c>
      <c r="M59" s="100" t="s">
        <v>151</v>
      </c>
      <c r="N59" s="110">
        <v>234399.97300000011</v>
      </c>
      <c r="O59" s="110">
        <v>92299</v>
      </c>
      <c r="P59" s="110">
        <f t="shared" si="2"/>
        <v>0</v>
      </c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</row>
    <row r="60" spans="1:28" ht="36">
      <c r="A60" s="219">
        <v>40004434</v>
      </c>
      <c r="B60" s="96">
        <v>31</v>
      </c>
      <c r="C60" s="98" t="s">
        <v>30</v>
      </c>
      <c r="D60" s="96">
        <v>0</v>
      </c>
      <c r="E60" s="96" t="s">
        <v>131</v>
      </c>
      <c r="F60" s="103" t="s">
        <v>239</v>
      </c>
      <c r="G60" s="96" t="s">
        <v>90</v>
      </c>
      <c r="H60" s="96" t="s">
        <v>160</v>
      </c>
      <c r="I60" s="96">
        <v>2018</v>
      </c>
      <c r="J60" s="96">
        <v>9636</v>
      </c>
      <c r="K60" s="141">
        <v>3841944</v>
      </c>
      <c r="L60" s="112" t="s">
        <v>137</v>
      </c>
      <c r="M60" s="100" t="s">
        <v>131</v>
      </c>
      <c r="N60" s="110">
        <v>420000</v>
      </c>
      <c r="O60" s="110">
        <v>864330</v>
      </c>
      <c r="P60" s="110">
        <f t="shared" si="2"/>
        <v>97545.95</v>
      </c>
      <c r="Q60" s="110"/>
      <c r="R60" s="110"/>
      <c r="S60" s="110"/>
      <c r="T60" s="110"/>
      <c r="U60" s="110"/>
      <c r="V60" s="110"/>
      <c r="W60" s="110">
        <v>97545.95</v>
      </c>
      <c r="X60" s="110"/>
      <c r="Y60" s="110"/>
      <c r="Z60" s="110"/>
      <c r="AA60" s="110"/>
      <c r="AB60" s="110"/>
    </row>
    <row r="61" spans="1:28" ht="36">
      <c r="A61" s="219">
        <v>30007043</v>
      </c>
      <c r="B61" s="102">
        <v>31</v>
      </c>
      <c r="C61" s="98" t="s">
        <v>30</v>
      </c>
      <c r="D61" s="96">
        <v>0</v>
      </c>
      <c r="E61" s="96" t="s">
        <v>131</v>
      </c>
      <c r="F61" s="103" t="s">
        <v>240</v>
      </c>
      <c r="G61" s="96" t="s">
        <v>89</v>
      </c>
      <c r="H61" s="96" t="s">
        <v>160</v>
      </c>
      <c r="I61" s="96">
        <v>2019</v>
      </c>
      <c r="J61" s="96">
        <v>10369</v>
      </c>
      <c r="K61" s="137">
        <v>2732706</v>
      </c>
      <c r="L61" s="96" t="s">
        <v>167</v>
      </c>
      <c r="M61" s="100" t="s">
        <v>241</v>
      </c>
      <c r="N61" s="110"/>
      <c r="O61" s="110"/>
      <c r="P61" s="110">
        <f t="shared" si="2"/>
        <v>0</v>
      </c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</row>
    <row r="62" spans="1:28" ht="36">
      <c r="A62" s="219">
        <v>30460171</v>
      </c>
      <c r="B62" s="102">
        <v>31</v>
      </c>
      <c r="C62" s="98" t="s">
        <v>30</v>
      </c>
      <c r="D62" s="96">
        <v>0</v>
      </c>
      <c r="E62" s="96" t="s">
        <v>131</v>
      </c>
      <c r="F62" s="103" t="s">
        <v>242</v>
      </c>
      <c r="G62" s="96" t="s">
        <v>97</v>
      </c>
      <c r="H62" s="96" t="s">
        <v>140</v>
      </c>
      <c r="I62" s="96">
        <v>2018</v>
      </c>
      <c r="J62" s="96">
        <v>9636</v>
      </c>
      <c r="K62" s="137">
        <v>723201</v>
      </c>
      <c r="L62" s="96" t="s">
        <v>150</v>
      </c>
      <c r="M62" s="100" t="s">
        <v>176</v>
      </c>
      <c r="N62" s="110">
        <v>1000</v>
      </c>
      <c r="O62" s="110">
        <v>1</v>
      </c>
      <c r="P62" s="110">
        <f t="shared" si="2"/>
        <v>0</v>
      </c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</row>
    <row r="63" spans="1:28" ht="24">
      <c r="A63" s="219">
        <v>30139823</v>
      </c>
      <c r="B63" s="102">
        <v>31</v>
      </c>
      <c r="C63" s="98" t="s">
        <v>30</v>
      </c>
      <c r="D63" s="96">
        <v>0</v>
      </c>
      <c r="E63" s="96" t="s">
        <v>138</v>
      </c>
      <c r="F63" s="97" t="s">
        <v>243</v>
      </c>
      <c r="G63" s="96" t="s">
        <v>99</v>
      </c>
      <c r="H63" s="96" t="s">
        <v>146</v>
      </c>
      <c r="I63" s="96">
        <v>2018</v>
      </c>
      <c r="J63" s="96" t="s">
        <v>197</v>
      </c>
      <c r="K63" s="137">
        <v>26629</v>
      </c>
      <c r="L63" s="96" t="s">
        <v>198</v>
      </c>
      <c r="M63" s="100" t="s">
        <v>199</v>
      </c>
      <c r="N63" s="110"/>
      <c r="O63" s="110"/>
      <c r="P63" s="110">
        <f t="shared" si="2"/>
        <v>0</v>
      </c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</row>
    <row r="64" spans="1:28" ht="24">
      <c r="A64" s="219">
        <v>40016415</v>
      </c>
      <c r="B64" s="102">
        <v>31</v>
      </c>
      <c r="C64" s="98" t="s">
        <v>30</v>
      </c>
      <c r="D64" s="96">
        <v>0</v>
      </c>
      <c r="E64" s="96" t="s">
        <v>131</v>
      </c>
      <c r="F64" s="103" t="s">
        <v>244</v>
      </c>
      <c r="G64" s="96" t="s">
        <v>98</v>
      </c>
      <c r="H64" s="96" t="s">
        <v>146</v>
      </c>
      <c r="I64" s="96">
        <v>2019</v>
      </c>
      <c r="J64" s="59">
        <v>10369</v>
      </c>
      <c r="K64" s="137">
        <v>683847.28</v>
      </c>
      <c r="L64" s="96" t="s">
        <v>224</v>
      </c>
      <c r="M64" s="100" t="s">
        <v>131</v>
      </c>
      <c r="N64" s="110">
        <v>14000</v>
      </c>
      <c r="O64" s="110">
        <v>52392</v>
      </c>
      <c r="P64" s="110">
        <f t="shared" si="2"/>
        <v>0</v>
      </c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</row>
    <row r="65" spans="1:28" ht="24">
      <c r="A65" s="219">
        <v>30479844</v>
      </c>
      <c r="B65" s="102">
        <v>31</v>
      </c>
      <c r="C65" s="98" t="s">
        <v>30</v>
      </c>
      <c r="D65" s="96">
        <v>0</v>
      </c>
      <c r="E65" s="96" t="s">
        <v>138</v>
      </c>
      <c r="F65" s="103" t="s">
        <v>245</v>
      </c>
      <c r="G65" s="96" t="s">
        <v>99</v>
      </c>
      <c r="H65" s="96" t="s">
        <v>146</v>
      </c>
      <c r="I65" s="96">
        <v>2018</v>
      </c>
      <c r="J65" s="96" t="s">
        <v>246</v>
      </c>
      <c r="K65" s="137">
        <v>24554</v>
      </c>
      <c r="L65" s="96" t="s">
        <v>198</v>
      </c>
      <c r="M65" s="100" t="s">
        <v>199</v>
      </c>
      <c r="N65" s="110"/>
      <c r="O65" s="110"/>
      <c r="P65" s="110">
        <f t="shared" si="2"/>
        <v>0</v>
      </c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</row>
    <row r="66" spans="1:28" ht="24">
      <c r="A66" s="219">
        <v>30176022</v>
      </c>
      <c r="B66" s="102">
        <v>31</v>
      </c>
      <c r="C66" s="98" t="s">
        <v>30</v>
      </c>
      <c r="D66" s="96">
        <v>0</v>
      </c>
      <c r="E66" s="96" t="s">
        <v>131</v>
      </c>
      <c r="F66" s="103" t="s">
        <v>247</v>
      </c>
      <c r="G66" s="96" t="s">
        <v>84</v>
      </c>
      <c r="H66" s="96" t="s">
        <v>146</v>
      </c>
      <c r="I66" s="96">
        <v>2019</v>
      </c>
      <c r="J66" s="96">
        <v>10023</v>
      </c>
      <c r="K66" s="137">
        <v>374541.78899999999</v>
      </c>
      <c r="L66" s="96" t="s">
        <v>172</v>
      </c>
      <c r="M66" s="100" t="s">
        <v>131</v>
      </c>
      <c r="N66" s="110">
        <v>642000</v>
      </c>
      <c r="O66" s="110">
        <v>530120</v>
      </c>
      <c r="P66" s="110">
        <f t="shared" si="2"/>
        <v>360895.951</v>
      </c>
      <c r="Q66" s="110"/>
      <c r="R66" s="110"/>
      <c r="S66" s="110"/>
      <c r="T66" s="110">
        <v>44602.642999999996</v>
      </c>
      <c r="U66" s="110">
        <v>99886.297000000006</v>
      </c>
      <c r="V66" s="110">
        <v>110493.546</v>
      </c>
      <c r="W66" s="110">
        <v>105913.465</v>
      </c>
      <c r="X66" s="110"/>
      <c r="Y66" s="110"/>
      <c r="Z66" s="110"/>
      <c r="AA66" s="110"/>
      <c r="AB66" s="110"/>
    </row>
    <row r="67" spans="1:28" ht="24">
      <c r="A67" s="219">
        <v>30139872</v>
      </c>
      <c r="B67" s="102">
        <v>31</v>
      </c>
      <c r="C67" s="98" t="s">
        <v>30</v>
      </c>
      <c r="D67" s="96">
        <v>0</v>
      </c>
      <c r="E67" s="96" t="s">
        <v>138</v>
      </c>
      <c r="F67" s="103" t="s">
        <v>248</v>
      </c>
      <c r="G67" s="96" t="s">
        <v>99</v>
      </c>
      <c r="H67" s="96" t="s">
        <v>146</v>
      </c>
      <c r="I67" s="96">
        <v>2018</v>
      </c>
      <c r="J67" s="96" t="s">
        <v>197</v>
      </c>
      <c r="K67" s="137">
        <v>23797</v>
      </c>
      <c r="L67" s="96" t="s">
        <v>198</v>
      </c>
      <c r="M67" s="100" t="s">
        <v>199</v>
      </c>
      <c r="N67" s="110"/>
      <c r="O67" s="110"/>
      <c r="P67" s="110">
        <f t="shared" si="2"/>
        <v>0</v>
      </c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</row>
    <row r="68" spans="1:28" ht="24">
      <c r="A68" s="219">
        <v>30149176</v>
      </c>
      <c r="B68" s="102">
        <v>31</v>
      </c>
      <c r="C68" s="98" t="s">
        <v>30</v>
      </c>
      <c r="D68" s="96">
        <v>0</v>
      </c>
      <c r="E68" s="96" t="s">
        <v>131</v>
      </c>
      <c r="F68" s="103" t="s">
        <v>249</v>
      </c>
      <c r="G68" s="96" t="s">
        <v>102</v>
      </c>
      <c r="H68" s="96" t="s">
        <v>143</v>
      </c>
      <c r="I68" s="96">
        <v>2018</v>
      </c>
      <c r="J68" s="96" t="s">
        <v>250</v>
      </c>
      <c r="K68" s="137">
        <v>3412768.6348560001</v>
      </c>
      <c r="L68" s="96" t="s">
        <v>134</v>
      </c>
      <c r="M68" s="100" t="s">
        <v>131</v>
      </c>
      <c r="N68" s="110">
        <v>107000</v>
      </c>
      <c r="O68" s="110">
        <v>67465</v>
      </c>
      <c r="P68" s="110">
        <f t="shared" si="2"/>
        <v>5429.8919999999998</v>
      </c>
      <c r="Q68" s="110"/>
      <c r="R68" s="110"/>
      <c r="S68" s="110">
        <v>5270.7889999999998</v>
      </c>
      <c r="T68" s="110">
        <v>159.10300000000001</v>
      </c>
      <c r="U68" s="110"/>
      <c r="V68" s="110"/>
      <c r="W68" s="110"/>
      <c r="X68" s="110"/>
      <c r="Y68" s="110"/>
      <c r="Z68" s="110"/>
      <c r="AA68" s="110"/>
      <c r="AB68" s="110"/>
    </row>
    <row r="69" spans="1:28" ht="24">
      <c r="A69" s="219">
        <v>30081585</v>
      </c>
      <c r="B69" s="102">
        <v>31</v>
      </c>
      <c r="C69" s="98" t="s">
        <v>30</v>
      </c>
      <c r="D69" s="96">
        <v>0</v>
      </c>
      <c r="E69" s="96" t="s">
        <v>131</v>
      </c>
      <c r="F69" s="103" t="s">
        <v>251</v>
      </c>
      <c r="G69" s="96" t="s">
        <v>91</v>
      </c>
      <c r="H69" s="96" t="s">
        <v>149</v>
      </c>
      <c r="I69" s="96">
        <v>2012</v>
      </c>
      <c r="J69" s="96">
        <v>5685</v>
      </c>
      <c r="K69" s="137">
        <v>1192603.074</v>
      </c>
      <c r="L69" s="96" t="s">
        <v>134</v>
      </c>
      <c r="M69" s="100" t="s">
        <v>131</v>
      </c>
      <c r="N69" s="110">
        <v>79977</v>
      </c>
      <c r="O69" s="110">
        <v>70095</v>
      </c>
      <c r="P69" s="110">
        <f t="shared" si="2"/>
        <v>1224.73</v>
      </c>
      <c r="Q69" s="110"/>
      <c r="R69" s="110"/>
      <c r="S69" s="110">
        <v>1224.73</v>
      </c>
      <c r="T69" s="110"/>
      <c r="U69" s="110"/>
      <c r="V69" s="110"/>
      <c r="W69" s="110"/>
      <c r="X69" s="110"/>
      <c r="Y69" s="110"/>
      <c r="Z69" s="110"/>
      <c r="AA69" s="110"/>
      <c r="AB69" s="110"/>
    </row>
    <row r="70" spans="1:28" ht="24">
      <c r="A70" s="219">
        <v>30085388</v>
      </c>
      <c r="B70" s="102">
        <v>31</v>
      </c>
      <c r="C70" s="98" t="s">
        <v>30</v>
      </c>
      <c r="D70" s="96">
        <v>0</v>
      </c>
      <c r="E70" s="96" t="s">
        <v>131</v>
      </c>
      <c r="F70" s="103" t="s">
        <v>252</v>
      </c>
      <c r="G70" s="96" t="s">
        <v>85</v>
      </c>
      <c r="H70" s="96" t="s">
        <v>253</v>
      </c>
      <c r="I70" s="96">
        <v>2018</v>
      </c>
      <c r="J70" s="96">
        <v>9060</v>
      </c>
      <c r="K70" s="137">
        <v>1461501</v>
      </c>
      <c r="L70" s="96" t="s">
        <v>134</v>
      </c>
      <c r="M70" s="100" t="s">
        <v>131</v>
      </c>
      <c r="N70" s="110">
        <v>101000</v>
      </c>
      <c r="O70" s="110">
        <v>111867</v>
      </c>
      <c r="P70" s="110">
        <f t="shared" si="2"/>
        <v>0</v>
      </c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</row>
    <row r="71" spans="1:28" ht="36">
      <c r="A71" s="219">
        <v>30076274</v>
      </c>
      <c r="B71" s="102">
        <v>31</v>
      </c>
      <c r="C71" s="98" t="s">
        <v>30</v>
      </c>
      <c r="D71" s="96">
        <v>0</v>
      </c>
      <c r="E71" s="96" t="s">
        <v>131</v>
      </c>
      <c r="F71" s="103" t="s">
        <v>254</v>
      </c>
      <c r="G71" s="96" t="s">
        <v>82</v>
      </c>
      <c r="H71" s="96" t="s">
        <v>160</v>
      </c>
      <c r="I71" s="96">
        <v>2014</v>
      </c>
      <c r="J71" s="96" t="s">
        <v>255</v>
      </c>
      <c r="K71" s="137">
        <v>1021396</v>
      </c>
      <c r="L71" s="96" t="s">
        <v>134</v>
      </c>
      <c r="M71" s="100" t="s">
        <v>165</v>
      </c>
      <c r="N71" s="110"/>
      <c r="O71" s="110"/>
      <c r="P71" s="110">
        <f t="shared" si="2"/>
        <v>0</v>
      </c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</row>
    <row r="72" spans="1:28" ht="48">
      <c r="A72" s="219">
        <v>30481521</v>
      </c>
      <c r="B72" s="102">
        <v>31</v>
      </c>
      <c r="C72" s="98" t="s">
        <v>30</v>
      </c>
      <c r="D72" s="102">
        <v>0</v>
      </c>
      <c r="E72" s="96" t="s">
        <v>131</v>
      </c>
      <c r="F72" s="103" t="s">
        <v>256</v>
      </c>
      <c r="G72" s="96" t="s">
        <v>90</v>
      </c>
      <c r="H72" s="96" t="s">
        <v>160</v>
      </c>
      <c r="I72" s="96">
        <v>2022</v>
      </c>
      <c r="J72" s="96">
        <v>12493</v>
      </c>
      <c r="K72" s="141">
        <v>2764448</v>
      </c>
      <c r="L72" s="96" t="s">
        <v>134</v>
      </c>
      <c r="M72" s="100" t="s">
        <v>257</v>
      </c>
      <c r="N72" s="110">
        <v>420000</v>
      </c>
      <c r="O72" s="110">
        <v>28000</v>
      </c>
      <c r="P72" s="110">
        <f t="shared" si="2"/>
        <v>27506.32</v>
      </c>
      <c r="Q72" s="110"/>
      <c r="R72" s="110"/>
      <c r="S72" s="110"/>
      <c r="T72" s="110">
        <v>12225.031000000001</v>
      </c>
      <c r="U72" s="110"/>
      <c r="V72" s="110">
        <v>15281.289000000001</v>
      </c>
      <c r="W72" s="110"/>
      <c r="X72" s="110"/>
      <c r="Y72" s="110"/>
      <c r="Z72" s="110"/>
      <c r="AA72" s="110"/>
      <c r="AB72" s="110"/>
    </row>
    <row r="73" spans="1:28" ht="24">
      <c r="A73" s="219">
        <v>30100146</v>
      </c>
      <c r="B73" s="102">
        <v>33</v>
      </c>
      <c r="C73" s="98" t="s">
        <v>27</v>
      </c>
      <c r="D73" s="96">
        <v>100</v>
      </c>
      <c r="E73" s="96" t="s">
        <v>131</v>
      </c>
      <c r="F73" s="103" t="s">
        <v>258</v>
      </c>
      <c r="G73" s="96" t="s">
        <v>86</v>
      </c>
      <c r="H73" s="96" t="s">
        <v>259</v>
      </c>
      <c r="I73" s="96">
        <v>2018</v>
      </c>
      <c r="J73" s="96">
        <v>9156</v>
      </c>
      <c r="K73" s="137">
        <v>3016924.84</v>
      </c>
      <c r="L73" s="96" t="s">
        <v>221</v>
      </c>
      <c r="M73" s="100" t="s">
        <v>131</v>
      </c>
      <c r="N73" s="110">
        <v>100000</v>
      </c>
      <c r="O73" s="110">
        <v>112152</v>
      </c>
      <c r="P73" s="110">
        <f t="shared" si="2"/>
        <v>0</v>
      </c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</row>
    <row r="74" spans="1:28" ht="24">
      <c r="A74" s="219">
        <v>30100137</v>
      </c>
      <c r="B74" s="102">
        <v>33</v>
      </c>
      <c r="C74" s="98" t="s">
        <v>27</v>
      </c>
      <c r="D74" s="96">
        <v>100</v>
      </c>
      <c r="E74" s="96" t="s">
        <v>131</v>
      </c>
      <c r="F74" s="103" t="s">
        <v>260</v>
      </c>
      <c r="G74" s="96" t="s">
        <v>84</v>
      </c>
      <c r="H74" s="96" t="s">
        <v>261</v>
      </c>
      <c r="I74" s="96">
        <v>2014</v>
      </c>
      <c r="J74" s="96">
        <v>6456</v>
      </c>
      <c r="K74" s="137">
        <v>8420785.6630000006</v>
      </c>
      <c r="L74" s="96" t="s">
        <v>234</v>
      </c>
      <c r="M74" s="100" t="s">
        <v>131</v>
      </c>
      <c r="N74" s="110">
        <v>29049</v>
      </c>
      <c r="O74" s="110">
        <v>31322</v>
      </c>
      <c r="P74" s="110">
        <f t="shared" si="2"/>
        <v>0</v>
      </c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</row>
    <row r="75" spans="1:28" ht="24">
      <c r="A75" s="219">
        <v>30100128</v>
      </c>
      <c r="B75" s="102">
        <v>33</v>
      </c>
      <c r="C75" s="98" t="s">
        <v>27</v>
      </c>
      <c r="D75" s="96">
        <v>100</v>
      </c>
      <c r="E75" s="96" t="s">
        <v>131</v>
      </c>
      <c r="F75" s="103" t="s">
        <v>262</v>
      </c>
      <c r="G75" s="96" t="s">
        <v>84</v>
      </c>
      <c r="H75" s="96" t="s">
        <v>184</v>
      </c>
      <c r="I75" s="96">
        <v>2018</v>
      </c>
      <c r="J75" s="96" t="s">
        <v>263</v>
      </c>
      <c r="K75" s="137">
        <v>3958400.9389999998</v>
      </c>
      <c r="L75" s="96" t="s">
        <v>234</v>
      </c>
      <c r="M75" s="100" t="s">
        <v>131</v>
      </c>
      <c r="N75" s="110">
        <v>1003774</v>
      </c>
      <c r="O75" s="110">
        <v>1021774</v>
      </c>
      <c r="P75" s="110">
        <f t="shared" si="2"/>
        <v>641789.24600000004</v>
      </c>
      <c r="Q75" s="110"/>
      <c r="R75" s="269">
        <v>121757.84299999999</v>
      </c>
      <c r="S75" s="110">
        <v>6000</v>
      </c>
      <c r="T75" s="110">
        <v>221112.054</v>
      </c>
      <c r="U75" s="110">
        <v>115062.27099999999</v>
      </c>
      <c r="V75" s="110">
        <v>174857.07800000001</v>
      </c>
      <c r="W75" s="110">
        <v>3000</v>
      </c>
      <c r="X75" s="110"/>
      <c r="Y75" s="110"/>
      <c r="Z75" s="276"/>
      <c r="AA75" s="110"/>
      <c r="AB75" s="269"/>
    </row>
    <row r="76" spans="1:28" ht="24">
      <c r="A76" s="219">
        <v>30124552</v>
      </c>
      <c r="B76" s="102">
        <v>33</v>
      </c>
      <c r="C76" s="98" t="s">
        <v>27</v>
      </c>
      <c r="D76" s="96">
        <v>100</v>
      </c>
      <c r="E76" s="96" t="s">
        <v>131</v>
      </c>
      <c r="F76" s="103" t="s">
        <v>264</v>
      </c>
      <c r="G76" s="96" t="s">
        <v>90</v>
      </c>
      <c r="H76" s="96" t="s">
        <v>184</v>
      </c>
      <c r="I76" s="96">
        <v>2018</v>
      </c>
      <c r="J76" s="96">
        <v>9636</v>
      </c>
      <c r="K76" s="137">
        <v>1380241.557</v>
      </c>
      <c r="L76" s="96" t="s">
        <v>137</v>
      </c>
      <c r="M76" s="100" t="s">
        <v>131</v>
      </c>
      <c r="N76" s="110">
        <v>562927</v>
      </c>
      <c r="O76" s="110">
        <v>491838</v>
      </c>
      <c r="P76" s="110">
        <f t="shared" si="2"/>
        <v>0</v>
      </c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</row>
    <row r="77" spans="1:28" ht="36">
      <c r="A77" s="256">
        <v>30483991</v>
      </c>
      <c r="B77" s="102">
        <v>33</v>
      </c>
      <c r="C77" s="98" t="s">
        <v>27</v>
      </c>
      <c r="D77" s="96">
        <v>100</v>
      </c>
      <c r="E77" s="96" t="s">
        <v>131</v>
      </c>
      <c r="F77" s="103" t="s">
        <v>265</v>
      </c>
      <c r="G77" s="112" t="s">
        <v>92</v>
      </c>
      <c r="H77" s="96" t="s">
        <v>184</v>
      </c>
      <c r="I77" s="96">
        <v>2023</v>
      </c>
      <c r="J77" s="96">
        <v>13597</v>
      </c>
      <c r="K77" s="141">
        <v>8262760</v>
      </c>
      <c r="L77" s="96" t="s">
        <v>161</v>
      </c>
      <c r="M77" s="100" t="s">
        <v>266</v>
      </c>
      <c r="N77" s="110">
        <v>100000</v>
      </c>
      <c r="O77" s="110">
        <v>50000</v>
      </c>
      <c r="P77" s="110">
        <f t="shared" si="2"/>
        <v>0</v>
      </c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</row>
    <row r="78" spans="1:28" ht="24">
      <c r="A78" s="219">
        <v>30124512</v>
      </c>
      <c r="B78" s="102">
        <v>33</v>
      </c>
      <c r="C78" s="98" t="s">
        <v>27</v>
      </c>
      <c r="D78" s="96">
        <v>100</v>
      </c>
      <c r="E78" s="96" t="s">
        <v>131</v>
      </c>
      <c r="F78" s="103" t="s">
        <v>267</v>
      </c>
      <c r="G78" s="96" t="s">
        <v>90</v>
      </c>
      <c r="H78" s="96" t="s">
        <v>261</v>
      </c>
      <c r="I78" s="96">
        <v>2013</v>
      </c>
      <c r="J78" s="96">
        <v>6198</v>
      </c>
      <c r="K78" s="137">
        <v>2029586</v>
      </c>
      <c r="L78" s="96" t="s">
        <v>137</v>
      </c>
      <c r="M78" s="100" t="s">
        <v>170</v>
      </c>
      <c r="N78" s="110">
        <v>99999</v>
      </c>
      <c r="O78" s="110">
        <v>50000</v>
      </c>
      <c r="P78" s="110">
        <f t="shared" si="2"/>
        <v>0</v>
      </c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</row>
    <row r="79" spans="1:28" ht="36">
      <c r="A79" s="256">
        <v>30098451</v>
      </c>
      <c r="B79" s="102">
        <v>33</v>
      </c>
      <c r="C79" s="98" t="s">
        <v>27</v>
      </c>
      <c r="D79" s="96">
        <v>100</v>
      </c>
      <c r="E79" s="96" t="s">
        <v>131</v>
      </c>
      <c r="F79" s="103" t="s">
        <v>268</v>
      </c>
      <c r="G79" s="112" t="s">
        <v>99</v>
      </c>
      <c r="H79" s="96" t="s">
        <v>184</v>
      </c>
      <c r="I79" s="96">
        <v>2023</v>
      </c>
      <c r="J79" s="96">
        <v>13360</v>
      </c>
      <c r="K79" s="141">
        <v>6356875</v>
      </c>
      <c r="L79" s="96" t="s">
        <v>198</v>
      </c>
      <c r="M79" s="100" t="s">
        <v>266</v>
      </c>
      <c r="N79" s="110">
        <v>100000</v>
      </c>
      <c r="O79" s="110">
        <v>50000</v>
      </c>
      <c r="P79" s="110">
        <f t="shared" si="2"/>
        <v>0</v>
      </c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</row>
    <row r="80" spans="1:28" ht="24">
      <c r="A80" s="219">
        <v>30078379</v>
      </c>
      <c r="B80" s="102">
        <v>33</v>
      </c>
      <c r="C80" s="98" t="s">
        <v>27</v>
      </c>
      <c r="D80" s="96">
        <v>100</v>
      </c>
      <c r="E80" s="96" t="s">
        <v>131</v>
      </c>
      <c r="F80" s="103" t="s">
        <v>269</v>
      </c>
      <c r="G80" s="96" t="s">
        <v>85</v>
      </c>
      <c r="H80" s="96" t="s">
        <v>259</v>
      </c>
      <c r="I80" s="96">
        <v>2013</v>
      </c>
      <c r="J80" s="96">
        <v>6198</v>
      </c>
      <c r="K80" s="99">
        <v>5489030</v>
      </c>
      <c r="L80" s="96" t="s">
        <v>194</v>
      </c>
      <c r="M80" s="100" t="s">
        <v>176</v>
      </c>
      <c r="N80" s="110"/>
      <c r="O80" s="110"/>
      <c r="P80" s="110">
        <f t="shared" si="2"/>
        <v>0</v>
      </c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</row>
    <row r="81" spans="1:28" ht="36">
      <c r="A81" s="219">
        <v>40021790</v>
      </c>
      <c r="B81" s="102">
        <v>33</v>
      </c>
      <c r="C81" s="98" t="s">
        <v>27</v>
      </c>
      <c r="D81" s="96">
        <v>100</v>
      </c>
      <c r="E81" s="96" t="s">
        <v>131</v>
      </c>
      <c r="F81" s="103" t="s">
        <v>270</v>
      </c>
      <c r="G81" s="96" t="s">
        <v>97</v>
      </c>
      <c r="H81" s="96" t="s">
        <v>184</v>
      </c>
      <c r="I81" s="96">
        <v>2021</v>
      </c>
      <c r="J81" s="96">
        <v>11216</v>
      </c>
      <c r="K81" s="137">
        <v>4444104</v>
      </c>
      <c r="L81" s="262" t="s">
        <v>150</v>
      </c>
      <c r="M81" s="100" t="s">
        <v>131</v>
      </c>
      <c r="N81" s="110">
        <v>1904251</v>
      </c>
      <c r="O81" s="110">
        <v>2146909</v>
      </c>
      <c r="P81" s="110">
        <f t="shared" si="2"/>
        <v>1959822.791</v>
      </c>
      <c r="Q81" s="110"/>
      <c r="R81" s="269">
        <v>193362.022</v>
      </c>
      <c r="S81" s="110">
        <v>549736.97400000005</v>
      </c>
      <c r="T81" s="110">
        <v>309766.95299999998</v>
      </c>
      <c r="U81" s="110">
        <v>342780.29300000001</v>
      </c>
      <c r="V81" s="110">
        <v>253761.90599999999</v>
      </c>
      <c r="W81" s="110">
        <v>310414.64299999998</v>
      </c>
      <c r="X81" s="110"/>
      <c r="Y81" s="110"/>
      <c r="Z81" s="276"/>
      <c r="AA81" s="110"/>
      <c r="AB81" s="269"/>
    </row>
    <row r="82" spans="1:28" ht="36">
      <c r="A82" s="219">
        <v>30482920</v>
      </c>
      <c r="B82" s="102">
        <v>29</v>
      </c>
      <c r="C82" s="98" t="s">
        <v>27</v>
      </c>
      <c r="D82" s="98">
        <v>108</v>
      </c>
      <c r="E82" s="96" t="s">
        <v>131</v>
      </c>
      <c r="F82" s="103" t="s">
        <v>271</v>
      </c>
      <c r="G82" s="96" t="s">
        <v>83</v>
      </c>
      <c r="H82" s="96" t="s">
        <v>133</v>
      </c>
      <c r="I82" s="96">
        <v>2018</v>
      </c>
      <c r="J82" s="96">
        <v>9636</v>
      </c>
      <c r="K82" s="137">
        <v>477891</v>
      </c>
      <c r="L82" s="96" t="s">
        <v>156</v>
      </c>
      <c r="M82" s="100" t="s">
        <v>151</v>
      </c>
      <c r="N82" s="110">
        <v>299664.71999999997</v>
      </c>
      <c r="O82" s="110">
        <v>1000</v>
      </c>
      <c r="P82" s="110">
        <f t="shared" si="2"/>
        <v>0</v>
      </c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</row>
    <row r="83" spans="1:28" ht="24">
      <c r="A83" s="219">
        <v>30483369</v>
      </c>
      <c r="B83" s="59">
        <v>29</v>
      </c>
      <c r="C83" s="98" t="s">
        <v>27</v>
      </c>
      <c r="D83" s="98">
        <v>117</v>
      </c>
      <c r="E83" s="96" t="s">
        <v>131</v>
      </c>
      <c r="F83" s="103" t="s">
        <v>272</v>
      </c>
      <c r="G83" s="96" t="s">
        <v>90</v>
      </c>
      <c r="H83" s="96" t="s">
        <v>133</v>
      </c>
      <c r="I83" s="96">
        <v>2018</v>
      </c>
      <c r="J83" s="96">
        <v>9636</v>
      </c>
      <c r="K83" s="137">
        <v>457458</v>
      </c>
      <c r="L83" s="96" t="s">
        <v>137</v>
      </c>
      <c r="M83" s="100" t="s">
        <v>131</v>
      </c>
      <c r="N83" s="110">
        <v>524512.71400000004</v>
      </c>
      <c r="O83" s="110">
        <v>524512.71400000004</v>
      </c>
      <c r="P83" s="110">
        <f t="shared" si="2"/>
        <v>524512.71400000004</v>
      </c>
      <c r="Q83" s="110"/>
      <c r="R83" s="110"/>
      <c r="S83" s="110"/>
      <c r="T83" s="110">
        <v>524512.71400000004</v>
      </c>
      <c r="U83" s="110"/>
      <c r="V83" s="110"/>
      <c r="W83" s="110"/>
      <c r="X83" s="110"/>
      <c r="Y83" s="110"/>
      <c r="Z83" s="110"/>
      <c r="AA83" s="110"/>
      <c r="AB83" s="110"/>
    </row>
    <row r="84" spans="1:28" ht="36">
      <c r="A84" s="219">
        <v>40010138</v>
      </c>
      <c r="B84" s="102">
        <v>29</v>
      </c>
      <c r="C84" s="98" t="s">
        <v>27</v>
      </c>
      <c r="D84" s="96">
        <v>136</v>
      </c>
      <c r="E84" s="96" t="s">
        <v>131</v>
      </c>
      <c r="F84" s="103" t="s">
        <v>273</v>
      </c>
      <c r="G84" s="96" t="s">
        <v>90</v>
      </c>
      <c r="H84" s="96" t="s">
        <v>274</v>
      </c>
      <c r="I84" s="96">
        <v>2021</v>
      </c>
      <c r="J84" s="96">
        <v>11619</v>
      </c>
      <c r="K84" s="137">
        <v>148895</v>
      </c>
      <c r="L84" s="262" t="s">
        <v>137</v>
      </c>
      <c r="M84" s="100" t="s">
        <v>165</v>
      </c>
      <c r="N84" s="110"/>
      <c r="O84" s="110"/>
      <c r="P84" s="110">
        <f t="shared" si="2"/>
        <v>0</v>
      </c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</row>
    <row r="85" spans="1:28" ht="36">
      <c r="A85" s="219">
        <v>40021574</v>
      </c>
      <c r="B85" s="102">
        <v>29</v>
      </c>
      <c r="C85" s="98" t="s">
        <v>27</v>
      </c>
      <c r="D85" s="96">
        <v>137</v>
      </c>
      <c r="E85" s="96" t="s">
        <v>131</v>
      </c>
      <c r="F85" s="103" t="s">
        <v>275</v>
      </c>
      <c r="G85" s="96" t="s">
        <v>81</v>
      </c>
      <c r="H85" s="96" t="s">
        <v>274</v>
      </c>
      <c r="I85" s="96">
        <v>2021</v>
      </c>
      <c r="J85" s="96">
        <v>11619</v>
      </c>
      <c r="K85" s="137">
        <v>204199</v>
      </c>
      <c r="L85" s="262" t="s">
        <v>141</v>
      </c>
      <c r="M85" s="100" t="s">
        <v>151</v>
      </c>
      <c r="N85" s="110">
        <v>204199</v>
      </c>
      <c r="O85" s="110">
        <v>1000</v>
      </c>
      <c r="P85" s="110">
        <f t="shared" si="2"/>
        <v>0</v>
      </c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</row>
    <row r="86" spans="1:28" ht="36">
      <c r="A86" s="219">
        <v>40020182</v>
      </c>
      <c r="B86" s="96">
        <v>29</v>
      </c>
      <c r="C86" s="98" t="s">
        <v>27</v>
      </c>
      <c r="D86" s="96">
        <v>138</v>
      </c>
      <c r="E86" s="96" t="s">
        <v>131</v>
      </c>
      <c r="F86" s="103" t="s">
        <v>276</v>
      </c>
      <c r="G86" s="96" t="s">
        <v>83</v>
      </c>
      <c r="H86" s="96" t="s">
        <v>146</v>
      </c>
      <c r="I86" s="96">
        <v>2020</v>
      </c>
      <c r="J86" s="96">
        <v>10686</v>
      </c>
      <c r="K86" s="137">
        <v>146227</v>
      </c>
      <c r="L86" s="96" t="s">
        <v>172</v>
      </c>
      <c r="M86" s="100" t="s">
        <v>144</v>
      </c>
      <c r="N86" s="110">
        <v>112539.48999999999</v>
      </c>
      <c r="O86" s="110">
        <v>98347</v>
      </c>
      <c r="P86" s="110">
        <f t="shared" si="2"/>
        <v>98346.373999999996</v>
      </c>
      <c r="Q86" s="110"/>
      <c r="R86" s="110"/>
      <c r="S86" s="110"/>
      <c r="T86" s="110"/>
      <c r="U86" s="110">
        <v>98346.373999999996</v>
      </c>
      <c r="V86" s="110"/>
      <c r="W86" s="110"/>
      <c r="X86" s="110"/>
      <c r="Y86" s="110"/>
      <c r="Z86" s="110"/>
      <c r="AA86" s="110"/>
      <c r="AB86" s="110"/>
    </row>
    <row r="87" spans="1:28" ht="36">
      <c r="A87" s="219">
        <v>40016076</v>
      </c>
      <c r="B87" s="96">
        <v>29</v>
      </c>
      <c r="C87" s="98" t="s">
        <v>27</v>
      </c>
      <c r="D87" s="96">
        <v>139</v>
      </c>
      <c r="E87" s="96" t="s">
        <v>131</v>
      </c>
      <c r="F87" s="103" t="s">
        <v>277</v>
      </c>
      <c r="G87" s="96" t="s">
        <v>99</v>
      </c>
      <c r="H87" s="96" t="s">
        <v>146</v>
      </c>
      <c r="I87" s="96">
        <v>2019</v>
      </c>
      <c r="J87" s="96">
        <v>10341</v>
      </c>
      <c r="K87" s="137">
        <v>159937</v>
      </c>
      <c r="L87" s="96" t="s">
        <v>172</v>
      </c>
      <c r="M87" s="100" t="s">
        <v>144</v>
      </c>
      <c r="N87" s="110">
        <v>196692.74799999999</v>
      </c>
      <c r="O87" s="110">
        <v>196693</v>
      </c>
      <c r="P87" s="110">
        <f t="shared" si="2"/>
        <v>196692.74600000001</v>
      </c>
      <c r="Q87" s="110"/>
      <c r="R87" s="110"/>
      <c r="S87" s="110"/>
      <c r="T87" s="110"/>
      <c r="U87" s="110">
        <v>196692.74600000001</v>
      </c>
      <c r="V87" s="110"/>
      <c r="W87" s="110"/>
      <c r="X87" s="110"/>
      <c r="Y87" s="110"/>
      <c r="Z87" s="110"/>
      <c r="AA87" s="110"/>
      <c r="AB87" s="110"/>
    </row>
    <row r="88" spans="1:28" ht="36">
      <c r="A88" s="219">
        <v>40017780</v>
      </c>
      <c r="B88" s="96">
        <v>29</v>
      </c>
      <c r="C88" s="98" t="s">
        <v>27</v>
      </c>
      <c r="D88" s="96">
        <v>140</v>
      </c>
      <c r="E88" s="96" t="s">
        <v>131</v>
      </c>
      <c r="F88" s="103" t="s">
        <v>278</v>
      </c>
      <c r="G88" s="96" t="s">
        <v>92</v>
      </c>
      <c r="H88" s="96" t="s">
        <v>146</v>
      </c>
      <c r="I88" s="96">
        <v>2020</v>
      </c>
      <c r="J88" s="96">
        <v>10686</v>
      </c>
      <c r="K88" s="137">
        <v>313017</v>
      </c>
      <c r="L88" s="96" t="s">
        <v>172</v>
      </c>
      <c r="M88" s="100" t="s">
        <v>144</v>
      </c>
      <c r="N88" s="110">
        <v>134696.1</v>
      </c>
      <c r="O88" s="110">
        <v>331390</v>
      </c>
      <c r="P88" s="110">
        <f t="shared" si="2"/>
        <v>331388.84600000002</v>
      </c>
      <c r="Q88" s="110"/>
      <c r="R88" s="110"/>
      <c r="S88" s="110"/>
      <c r="T88" s="110"/>
      <c r="U88" s="110">
        <v>331388.84600000002</v>
      </c>
      <c r="V88" s="110"/>
      <c r="W88" s="110"/>
      <c r="X88" s="110"/>
      <c r="Y88" s="110"/>
      <c r="Z88" s="110"/>
      <c r="AA88" s="110"/>
      <c r="AB88" s="110"/>
    </row>
    <row r="89" spans="1:28" ht="36">
      <c r="A89" s="219">
        <v>40026732</v>
      </c>
      <c r="B89" s="96">
        <v>29</v>
      </c>
      <c r="C89" s="98" t="s">
        <v>27</v>
      </c>
      <c r="D89" s="96">
        <v>141</v>
      </c>
      <c r="E89" s="96" t="s">
        <v>131</v>
      </c>
      <c r="F89" s="103" t="s">
        <v>279</v>
      </c>
      <c r="G89" s="96" t="s">
        <v>91</v>
      </c>
      <c r="H89" s="96" t="s">
        <v>146</v>
      </c>
      <c r="I89" s="96">
        <v>2022</v>
      </c>
      <c r="J89" s="96">
        <v>11932</v>
      </c>
      <c r="K89" s="137">
        <v>361201</v>
      </c>
      <c r="L89" s="96" t="s">
        <v>172</v>
      </c>
      <c r="M89" s="100" t="s">
        <v>144</v>
      </c>
      <c r="N89" s="110">
        <v>269392.2</v>
      </c>
      <c r="O89" s="110">
        <v>269393</v>
      </c>
      <c r="P89" s="110">
        <f t="shared" si="2"/>
        <v>269392.2</v>
      </c>
      <c r="Q89" s="110"/>
      <c r="R89" s="110"/>
      <c r="S89" s="110"/>
      <c r="T89" s="110"/>
      <c r="U89" s="110">
        <v>269392.2</v>
      </c>
      <c r="V89" s="110"/>
      <c r="W89" s="110"/>
      <c r="X89" s="110"/>
      <c r="Y89" s="110"/>
      <c r="Z89" s="110"/>
      <c r="AA89" s="110"/>
      <c r="AB89" s="110"/>
    </row>
    <row r="90" spans="1:28" ht="36">
      <c r="A90" s="219">
        <v>40026735</v>
      </c>
      <c r="B90" s="96">
        <v>29</v>
      </c>
      <c r="C90" s="98" t="s">
        <v>27</v>
      </c>
      <c r="D90" s="96">
        <v>142</v>
      </c>
      <c r="E90" s="96" t="s">
        <v>131</v>
      </c>
      <c r="F90" s="103" t="s">
        <v>280</v>
      </c>
      <c r="G90" s="96" t="s">
        <v>98</v>
      </c>
      <c r="H90" s="96" t="s">
        <v>146</v>
      </c>
      <c r="I90" s="96">
        <v>2022</v>
      </c>
      <c r="J90" s="96">
        <v>11932</v>
      </c>
      <c r="K90" s="137">
        <v>202674</v>
      </c>
      <c r="L90" s="96" t="s">
        <v>172</v>
      </c>
      <c r="M90" s="100" t="s">
        <v>144</v>
      </c>
      <c r="N90" s="110">
        <v>196692.74799999999</v>
      </c>
      <c r="O90" s="110">
        <v>196693</v>
      </c>
      <c r="P90" s="110">
        <f t="shared" si="2"/>
        <v>196692.74600000001</v>
      </c>
      <c r="Q90" s="110"/>
      <c r="R90" s="110"/>
      <c r="S90" s="110"/>
      <c r="T90" s="110"/>
      <c r="U90" s="110">
        <v>196692.74600000001</v>
      </c>
      <c r="V90" s="110"/>
      <c r="W90" s="110"/>
      <c r="X90" s="110"/>
      <c r="Y90" s="110"/>
      <c r="Z90" s="110"/>
      <c r="AA90" s="110"/>
      <c r="AB90" s="110"/>
    </row>
    <row r="91" spans="1:28" ht="24">
      <c r="A91" s="219">
        <v>40015246</v>
      </c>
      <c r="B91" s="102">
        <v>29</v>
      </c>
      <c r="C91" s="98" t="s">
        <v>27</v>
      </c>
      <c r="D91" s="102">
        <v>146</v>
      </c>
      <c r="E91" s="96" t="s">
        <v>131</v>
      </c>
      <c r="F91" s="103" t="s">
        <v>281</v>
      </c>
      <c r="G91" s="96" t="s">
        <v>93</v>
      </c>
      <c r="H91" s="96" t="s">
        <v>133</v>
      </c>
      <c r="I91" s="96">
        <v>2020</v>
      </c>
      <c r="J91" s="96">
        <v>10766</v>
      </c>
      <c r="K91" s="137">
        <v>150535</v>
      </c>
      <c r="L91" s="229" t="s">
        <v>218</v>
      </c>
      <c r="M91" s="100" t="s">
        <v>165</v>
      </c>
      <c r="N91" s="110"/>
      <c r="O91" s="110"/>
      <c r="P91" s="110">
        <f t="shared" si="2"/>
        <v>0</v>
      </c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</row>
    <row r="92" spans="1:28" ht="48">
      <c r="A92" s="219">
        <v>40045071</v>
      </c>
      <c r="B92" s="102">
        <v>29</v>
      </c>
      <c r="C92" s="98" t="s">
        <v>27</v>
      </c>
      <c r="D92" s="96">
        <v>150</v>
      </c>
      <c r="E92" s="96" t="s">
        <v>131</v>
      </c>
      <c r="F92" s="103" t="s">
        <v>282</v>
      </c>
      <c r="G92" s="96" t="s">
        <v>96</v>
      </c>
      <c r="H92" s="96" t="s">
        <v>133</v>
      </c>
      <c r="I92" s="96">
        <v>2022</v>
      </c>
      <c r="J92" s="96">
        <v>12493</v>
      </c>
      <c r="K92" s="137">
        <v>126441</v>
      </c>
      <c r="L92" s="96" t="s">
        <v>179</v>
      </c>
      <c r="M92" s="100" t="s">
        <v>191</v>
      </c>
      <c r="N92" s="110">
        <v>1000</v>
      </c>
      <c r="O92" s="110">
        <v>1000</v>
      </c>
      <c r="P92" s="110">
        <f t="shared" si="2"/>
        <v>0</v>
      </c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</row>
    <row r="93" spans="1:28" ht="24">
      <c r="A93" s="219">
        <v>40045197</v>
      </c>
      <c r="B93" s="102">
        <v>29</v>
      </c>
      <c r="C93" s="98" t="s">
        <v>27</v>
      </c>
      <c r="D93" s="96">
        <v>151</v>
      </c>
      <c r="E93" s="96" t="s">
        <v>131</v>
      </c>
      <c r="F93" s="103" t="s">
        <v>283</v>
      </c>
      <c r="G93" s="96" t="s">
        <v>93</v>
      </c>
      <c r="H93" s="96" t="s">
        <v>133</v>
      </c>
      <c r="I93" s="96">
        <v>2022</v>
      </c>
      <c r="J93" s="96">
        <v>12493</v>
      </c>
      <c r="K93" s="137">
        <v>167554</v>
      </c>
      <c r="L93" s="96" t="s">
        <v>179</v>
      </c>
      <c r="M93" s="100" t="s">
        <v>165</v>
      </c>
      <c r="N93" s="110"/>
      <c r="O93" s="110"/>
      <c r="P93" s="110">
        <f t="shared" si="2"/>
        <v>0</v>
      </c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</row>
    <row r="94" spans="1:28" ht="24">
      <c r="A94" s="219">
        <v>40009553</v>
      </c>
      <c r="B94" s="102">
        <v>29</v>
      </c>
      <c r="C94" s="98" t="s">
        <v>27</v>
      </c>
      <c r="D94" s="96">
        <v>152</v>
      </c>
      <c r="E94" s="96" t="s">
        <v>131</v>
      </c>
      <c r="F94" s="103" t="s">
        <v>284</v>
      </c>
      <c r="G94" s="96" t="s">
        <v>86</v>
      </c>
      <c r="H94" s="96" t="s">
        <v>133</v>
      </c>
      <c r="I94" s="96">
        <v>2022</v>
      </c>
      <c r="J94" s="96">
        <v>12493</v>
      </c>
      <c r="K94" s="137">
        <v>597049</v>
      </c>
      <c r="L94" s="96" t="s">
        <v>221</v>
      </c>
      <c r="M94" s="100" t="s">
        <v>151</v>
      </c>
      <c r="N94" s="110">
        <v>572059</v>
      </c>
      <c r="O94" s="110">
        <v>1000</v>
      </c>
      <c r="P94" s="110">
        <f t="shared" si="2"/>
        <v>0</v>
      </c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</row>
    <row r="95" spans="1:28" ht="24">
      <c r="A95" s="219">
        <v>40041244</v>
      </c>
      <c r="B95" s="102">
        <v>29</v>
      </c>
      <c r="C95" s="98" t="s">
        <v>27</v>
      </c>
      <c r="D95" s="96">
        <v>153</v>
      </c>
      <c r="E95" s="96" t="s">
        <v>131</v>
      </c>
      <c r="F95" s="103" t="s">
        <v>285</v>
      </c>
      <c r="G95" s="96" t="s">
        <v>98</v>
      </c>
      <c r="H95" s="96" t="s">
        <v>133</v>
      </c>
      <c r="I95" s="96">
        <v>2022</v>
      </c>
      <c r="J95" s="96">
        <v>12493</v>
      </c>
      <c r="K95" s="137">
        <v>244435</v>
      </c>
      <c r="L95" s="96" t="s">
        <v>224</v>
      </c>
      <c r="M95" s="100" t="s">
        <v>165</v>
      </c>
      <c r="N95" s="110"/>
      <c r="O95" s="110"/>
      <c r="P95" s="110">
        <f t="shared" si="2"/>
        <v>0</v>
      </c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</row>
    <row r="96" spans="1:28" ht="24">
      <c r="A96" s="219">
        <v>40044384</v>
      </c>
      <c r="B96" s="102">
        <v>29</v>
      </c>
      <c r="C96" s="98" t="s">
        <v>27</v>
      </c>
      <c r="D96" s="96">
        <v>155</v>
      </c>
      <c r="E96" s="96" t="s">
        <v>131</v>
      </c>
      <c r="F96" s="103" t="s">
        <v>286</v>
      </c>
      <c r="G96" s="96" t="s">
        <v>93</v>
      </c>
      <c r="H96" s="96" t="s">
        <v>133</v>
      </c>
      <c r="I96" s="96">
        <v>2022</v>
      </c>
      <c r="J96" s="96">
        <v>12493</v>
      </c>
      <c r="K96" s="137">
        <v>342601</v>
      </c>
      <c r="L96" s="96" t="s">
        <v>218</v>
      </c>
      <c r="M96" s="100" t="s">
        <v>165</v>
      </c>
      <c r="N96" s="110"/>
      <c r="O96" s="212"/>
      <c r="P96" s="110">
        <f t="shared" si="2"/>
        <v>0</v>
      </c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</row>
    <row r="97" spans="1:34" ht="24">
      <c r="A97" s="219">
        <v>40038920</v>
      </c>
      <c r="B97" s="102">
        <v>29</v>
      </c>
      <c r="C97" s="98" t="s">
        <v>27</v>
      </c>
      <c r="D97" s="96">
        <v>156</v>
      </c>
      <c r="E97" s="96" t="s">
        <v>131</v>
      </c>
      <c r="F97" s="103" t="s">
        <v>287</v>
      </c>
      <c r="G97" s="96" t="s">
        <v>90</v>
      </c>
      <c r="H97" s="96" t="s">
        <v>146</v>
      </c>
      <c r="I97" s="96">
        <v>2022</v>
      </c>
      <c r="J97" s="96">
        <v>12493</v>
      </c>
      <c r="K97" s="137">
        <v>474823</v>
      </c>
      <c r="L97" s="96" t="s">
        <v>172</v>
      </c>
      <c r="M97" s="100" t="s">
        <v>165</v>
      </c>
      <c r="N97" s="110"/>
      <c r="O97" s="212"/>
      <c r="P97" s="110">
        <f t="shared" si="2"/>
        <v>0</v>
      </c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</row>
    <row r="98" spans="1:34" ht="24">
      <c r="A98" s="219">
        <v>40021792</v>
      </c>
      <c r="B98" s="102">
        <v>29</v>
      </c>
      <c r="C98" s="98" t="s">
        <v>27</v>
      </c>
      <c r="D98" s="96">
        <v>157</v>
      </c>
      <c r="E98" s="96" t="s">
        <v>131</v>
      </c>
      <c r="F98" s="103" t="s">
        <v>288</v>
      </c>
      <c r="G98" s="96" t="s">
        <v>82</v>
      </c>
      <c r="H98" s="96" t="s">
        <v>133</v>
      </c>
      <c r="I98" s="96">
        <v>2022</v>
      </c>
      <c r="J98" s="96">
        <v>12542</v>
      </c>
      <c r="K98" s="137">
        <v>402044</v>
      </c>
      <c r="L98" s="96" t="s">
        <v>172</v>
      </c>
      <c r="M98" s="100" t="s">
        <v>165</v>
      </c>
      <c r="N98" s="110"/>
      <c r="O98" s="110"/>
      <c r="P98" s="110">
        <f t="shared" si="2"/>
        <v>0</v>
      </c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</row>
    <row r="99" spans="1:34" ht="24">
      <c r="A99" s="219">
        <v>40045548</v>
      </c>
      <c r="B99" s="102">
        <v>29</v>
      </c>
      <c r="C99" s="98" t="s">
        <v>27</v>
      </c>
      <c r="D99" s="96">
        <v>158</v>
      </c>
      <c r="E99" s="96" t="s">
        <v>131</v>
      </c>
      <c r="F99" s="103" t="s">
        <v>289</v>
      </c>
      <c r="G99" s="96" t="s">
        <v>99</v>
      </c>
      <c r="H99" s="96" t="s">
        <v>133</v>
      </c>
      <c r="I99" s="96">
        <v>2022</v>
      </c>
      <c r="J99" s="96">
        <v>12542</v>
      </c>
      <c r="K99" s="137">
        <v>744504</v>
      </c>
      <c r="L99" s="96" t="s">
        <v>198</v>
      </c>
      <c r="M99" s="100" t="s">
        <v>165</v>
      </c>
      <c r="N99" s="110"/>
      <c r="O99" s="212"/>
      <c r="P99" s="110">
        <f t="shared" si="2"/>
        <v>0</v>
      </c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</row>
    <row r="100" spans="1:34" ht="24">
      <c r="A100" s="219">
        <v>40039274</v>
      </c>
      <c r="B100" s="102">
        <v>29</v>
      </c>
      <c r="C100" s="98" t="s">
        <v>27</v>
      </c>
      <c r="D100" s="96">
        <v>159</v>
      </c>
      <c r="E100" s="96" t="s">
        <v>131</v>
      </c>
      <c r="F100" s="103" t="s">
        <v>290</v>
      </c>
      <c r="G100" s="96" t="s">
        <v>92</v>
      </c>
      <c r="H100" s="96" t="s">
        <v>184</v>
      </c>
      <c r="I100" s="96">
        <v>2022</v>
      </c>
      <c r="J100" s="96">
        <v>12627</v>
      </c>
      <c r="K100" s="137">
        <v>357797.56800000003</v>
      </c>
      <c r="L100" s="262" t="s">
        <v>161</v>
      </c>
      <c r="M100" s="100" t="s">
        <v>165</v>
      </c>
      <c r="N100" s="110"/>
      <c r="O100" s="212"/>
      <c r="P100" s="110">
        <f t="shared" si="2"/>
        <v>0</v>
      </c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</row>
    <row r="101" spans="1:34" ht="24">
      <c r="A101" s="219">
        <v>40045421</v>
      </c>
      <c r="B101" s="102">
        <v>29</v>
      </c>
      <c r="C101" s="98" t="s">
        <v>27</v>
      </c>
      <c r="D101" s="96">
        <v>160</v>
      </c>
      <c r="E101" s="96" t="s">
        <v>131</v>
      </c>
      <c r="F101" s="103" t="s">
        <v>291</v>
      </c>
      <c r="G101" s="96" t="s">
        <v>91</v>
      </c>
      <c r="H101" s="96" t="s">
        <v>133</v>
      </c>
      <c r="I101" s="96">
        <v>2022</v>
      </c>
      <c r="J101" s="114">
        <v>12627</v>
      </c>
      <c r="K101" s="138">
        <v>817899</v>
      </c>
      <c r="L101" s="96" t="s">
        <v>214</v>
      </c>
      <c r="M101" s="100" t="s">
        <v>292</v>
      </c>
      <c r="N101" s="110">
        <v>1000</v>
      </c>
      <c r="O101" s="212"/>
      <c r="P101" s="110">
        <f t="shared" si="2"/>
        <v>0</v>
      </c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</row>
    <row r="102" spans="1:34" ht="36">
      <c r="A102" s="219">
        <v>40011670</v>
      </c>
      <c r="B102" s="102">
        <v>29</v>
      </c>
      <c r="C102" s="98" t="s">
        <v>27</v>
      </c>
      <c r="D102" s="96">
        <v>161</v>
      </c>
      <c r="E102" s="96" t="s">
        <v>131</v>
      </c>
      <c r="F102" s="103" t="s">
        <v>293</v>
      </c>
      <c r="G102" s="96" t="s">
        <v>91</v>
      </c>
      <c r="H102" s="96" t="s">
        <v>274</v>
      </c>
      <c r="I102" s="114">
        <v>2020</v>
      </c>
      <c r="J102" s="114">
        <v>10619</v>
      </c>
      <c r="K102" s="138">
        <v>890792</v>
      </c>
      <c r="L102" s="262" t="s">
        <v>158</v>
      </c>
      <c r="M102" s="100" t="s">
        <v>165</v>
      </c>
      <c r="N102" s="110"/>
      <c r="O102" s="212"/>
      <c r="P102" s="110">
        <f t="shared" si="2"/>
        <v>0</v>
      </c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</row>
    <row r="103" spans="1:34" ht="24">
      <c r="A103" s="219">
        <v>40010001</v>
      </c>
      <c r="B103" s="102">
        <v>29</v>
      </c>
      <c r="C103" s="98" t="s">
        <v>27</v>
      </c>
      <c r="D103" s="96">
        <v>163</v>
      </c>
      <c r="E103" s="96" t="s">
        <v>131</v>
      </c>
      <c r="F103" s="103" t="s">
        <v>294</v>
      </c>
      <c r="G103" s="96" t="s">
        <v>98</v>
      </c>
      <c r="H103" s="96" t="s">
        <v>133</v>
      </c>
      <c r="I103" s="96">
        <v>2020</v>
      </c>
      <c r="J103" s="96">
        <v>10619</v>
      </c>
      <c r="K103" s="137">
        <v>193970</v>
      </c>
      <c r="L103" s="96" t="s">
        <v>224</v>
      </c>
      <c r="M103" s="100" t="s">
        <v>165</v>
      </c>
      <c r="N103" s="110"/>
      <c r="O103" s="110"/>
      <c r="P103" s="110">
        <f t="shared" si="2"/>
        <v>0</v>
      </c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</row>
    <row r="104" spans="1:34" ht="24">
      <c r="A104" s="219">
        <v>30118718</v>
      </c>
      <c r="B104" s="102">
        <v>33</v>
      </c>
      <c r="C104" s="98" t="s">
        <v>27</v>
      </c>
      <c r="D104" s="59">
        <v>211</v>
      </c>
      <c r="E104" s="96" t="s">
        <v>131</v>
      </c>
      <c r="F104" s="103" t="s">
        <v>295</v>
      </c>
      <c r="G104" s="96" t="s">
        <v>102</v>
      </c>
      <c r="H104" s="96" t="s">
        <v>133</v>
      </c>
      <c r="I104" s="96">
        <v>2011</v>
      </c>
      <c r="J104" s="114">
        <v>5244</v>
      </c>
      <c r="K104" s="137">
        <v>6448888</v>
      </c>
      <c r="L104" s="96" t="s">
        <v>296</v>
      </c>
      <c r="M104" s="100" t="s">
        <v>131</v>
      </c>
      <c r="N104" s="110">
        <v>407074</v>
      </c>
      <c r="O104" s="110">
        <v>407074</v>
      </c>
      <c r="P104" s="110">
        <f t="shared" si="2"/>
        <v>0</v>
      </c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</row>
    <row r="105" spans="1:34" ht="24">
      <c r="A105" s="219">
        <v>40014269</v>
      </c>
      <c r="B105" s="96">
        <v>33</v>
      </c>
      <c r="C105" s="98" t="s">
        <v>27</v>
      </c>
      <c r="D105" s="59">
        <v>410</v>
      </c>
      <c r="E105" s="96" t="s">
        <v>131</v>
      </c>
      <c r="F105" s="103" t="s">
        <v>297</v>
      </c>
      <c r="G105" s="96" t="s">
        <v>102</v>
      </c>
      <c r="H105" s="96" t="s">
        <v>298</v>
      </c>
      <c r="I105" s="96">
        <v>2019</v>
      </c>
      <c r="J105" s="96">
        <v>10066</v>
      </c>
      <c r="K105" s="141">
        <v>135000</v>
      </c>
      <c r="L105" s="96" t="s">
        <v>299</v>
      </c>
      <c r="M105" s="100" t="s">
        <v>131</v>
      </c>
      <c r="N105" s="110">
        <v>75</v>
      </c>
      <c r="O105" s="110">
        <v>75</v>
      </c>
      <c r="P105" s="110">
        <f t="shared" ref="P105:P130" si="3">SUM(Q105:AB105)</f>
        <v>0</v>
      </c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35"/>
      <c r="AD105" s="135"/>
      <c r="AE105" s="135"/>
      <c r="AF105" s="135"/>
      <c r="AG105" s="135"/>
      <c r="AH105" s="135"/>
    </row>
    <row r="106" spans="1:34" ht="24">
      <c r="A106" s="219">
        <v>40014467</v>
      </c>
      <c r="B106" s="102">
        <v>33</v>
      </c>
      <c r="C106" s="98" t="s">
        <v>27</v>
      </c>
      <c r="D106" s="96">
        <v>413</v>
      </c>
      <c r="E106" s="96" t="s">
        <v>131</v>
      </c>
      <c r="F106" s="103" t="s">
        <v>300</v>
      </c>
      <c r="G106" s="96" t="s">
        <v>102</v>
      </c>
      <c r="H106" s="96" t="s">
        <v>298</v>
      </c>
      <c r="I106" s="96">
        <v>2019</v>
      </c>
      <c r="J106" s="96">
        <v>10066</v>
      </c>
      <c r="K106" s="137">
        <v>118775</v>
      </c>
      <c r="L106" s="96" t="s">
        <v>299</v>
      </c>
      <c r="M106" s="100" t="s">
        <v>131</v>
      </c>
      <c r="N106" s="110">
        <v>3629</v>
      </c>
      <c r="O106" s="110">
        <v>3629</v>
      </c>
      <c r="P106" s="110">
        <f t="shared" si="3"/>
        <v>0</v>
      </c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35"/>
      <c r="AD106" s="135"/>
      <c r="AE106" s="135"/>
      <c r="AF106" s="135"/>
      <c r="AG106" s="135"/>
      <c r="AH106" s="135"/>
    </row>
    <row r="107" spans="1:34" ht="24">
      <c r="A107" s="219">
        <v>40014502</v>
      </c>
      <c r="B107" s="96">
        <v>33</v>
      </c>
      <c r="C107" s="98" t="s">
        <v>27</v>
      </c>
      <c r="D107" s="59">
        <v>416</v>
      </c>
      <c r="E107" s="96" t="s">
        <v>131</v>
      </c>
      <c r="F107" s="103" t="s">
        <v>301</v>
      </c>
      <c r="G107" s="96" t="s">
        <v>102</v>
      </c>
      <c r="H107" s="96" t="s">
        <v>298</v>
      </c>
      <c r="I107" s="96">
        <v>2019</v>
      </c>
      <c r="J107" s="96">
        <v>10066</v>
      </c>
      <c r="K107" s="141">
        <v>134985</v>
      </c>
      <c r="L107" s="96" t="s">
        <v>299</v>
      </c>
      <c r="M107" s="100" t="s">
        <v>131</v>
      </c>
      <c r="N107" s="110">
        <v>26</v>
      </c>
      <c r="O107" s="110">
        <v>26</v>
      </c>
      <c r="P107" s="110">
        <f t="shared" si="3"/>
        <v>0</v>
      </c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35"/>
      <c r="AD107" s="135"/>
      <c r="AE107" s="135"/>
      <c r="AF107" s="135"/>
      <c r="AG107" s="135"/>
      <c r="AH107" s="135"/>
    </row>
    <row r="108" spans="1:34" ht="24">
      <c r="A108" s="219">
        <v>40014503</v>
      </c>
      <c r="B108" s="96">
        <v>33</v>
      </c>
      <c r="C108" s="98" t="s">
        <v>27</v>
      </c>
      <c r="D108" s="59">
        <v>417</v>
      </c>
      <c r="E108" s="96" t="s">
        <v>131</v>
      </c>
      <c r="F108" s="103" t="s">
        <v>302</v>
      </c>
      <c r="G108" s="96" t="s">
        <v>102</v>
      </c>
      <c r="H108" s="96" t="s">
        <v>298</v>
      </c>
      <c r="I108" s="96">
        <v>2019</v>
      </c>
      <c r="J108" s="96">
        <v>10066</v>
      </c>
      <c r="K108" s="141">
        <v>106960</v>
      </c>
      <c r="L108" s="96" t="s">
        <v>299</v>
      </c>
      <c r="M108" s="100" t="s">
        <v>131</v>
      </c>
      <c r="N108" s="110">
        <v>1610</v>
      </c>
      <c r="O108" s="110">
        <v>1610</v>
      </c>
      <c r="P108" s="110">
        <f t="shared" si="3"/>
        <v>0</v>
      </c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35"/>
      <c r="AD108" s="135"/>
      <c r="AE108" s="135"/>
      <c r="AF108" s="135"/>
      <c r="AG108" s="135"/>
      <c r="AH108" s="135"/>
    </row>
    <row r="109" spans="1:34" ht="36">
      <c r="A109" s="219">
        <v>40019817</v>
      </c>
      <c r="B109" s="96">
        <v>33</v>
      </c>
      <c r="C109" s="98" t="s">
        <v>27</v>
      </c>
      <c r="D109" s="59">
        <v>422</v>
      </c>
      <c r="E109" s="96" t="s">
        <v>131</v>
      </c>
      <c r="F109" s="103" t="s">
        <v>303</v>
      </c>
      <c r="G109" s="96" t="s">
        <v>102</v>
      </c>
      <c r="H109" s="96" t="s">
        <v>304</v>
      </c>
      <c r="I109" s="96">
        <v>2020</v>
      </c>
      <c r="J109" s="96">
        <v>10767</v>
      </c>
      <c r="K109" s="141">
        <v>3240000</v>
      </c>
      <c r="L109" s="96" t="s">
        <v>305</v>
      </c>
      <c r="M109" s="100" t="s">
        <v>131</v>
      </c>
      <c r="N109" s="110">
        <v>22</v>
      </c>
      <c r="O109" s="110">
        <v>22</v>
      </c>
      <c r="P109" s="110">
        <f t="shared" si="3"/>
        <v>0</v>
      </c>
      <c r="Q109" s="110"/>
      <c r="R109" s="110"/>
      <c r="S109" s="110"/>
      <c r="T109" s="110"/>
      <c r="U109" s="110"/>
      <c r="V109" s="110"/>
      <c r="W109" s="110"/>
      <c r="X109" s="110"/>
      <c r="Y109" s="110"/>
      <c r="Z109" s="276"/>
      <c r="AA109" s="110"/>
      <c r="AB109" s="269"/>
    </row>
    <row r="110" spans="1:34" ht="24">
      <c r="A110" s="219">
        <v>40014432</v>
      </c>
      <c r="B110" s="96">
        <v>33</v>
      </c>
      <c r="C110" s="98" t="s">
        <v>27</v>
      </c>
      <c r="D110" s="59">
        <v>430</v>
      </c>
      <c r="E110" s="96" t="s">
        <v>131</v>
      </c>
      <c r="F110" s="103" t="s">
        <v>306</v>
      </c>
      <c r="G110" s="96" t="s">
        <v>102</v>
      </c>
      <c r="H110" s="96" t="s">
        <v>146</v>
      </c>
      <c r="I110" s="96">
        <v>2021</v>
      </c>
      <c r="J110" s="96">
        <v>11384</v>
      </c>
      <c r="K110" s="141">
        <v>3488542</v>
      </c>
      <c r="L110" s="96" t="s">
        <v>172</v>
      </c>
      <c r="M110" s="100" t="s">
        <v>131</v>
      </c>
      <c r="N110" s="110">
        <v>689438</v>
      </c>
      <c r="O110" s="110">
        <v>689438</v>
      </c>
      <c r="P110" s="110">
        <f t="shared" si="3"/>
        <v>274848.52299999999</v>
      </c>
      <c r="Q110" s="110"/>
      <c r="R110" s="269">
        <v>16.21</v>
      </c>
      <c r="S110" s="110"/>
      <c r="T110" s="110">
        <v>6063.4040000000005</v>
      </c>
      <c r="U110" s="110">
        <v>144209.035</v>
      </c>
      <c r="V110" s="110">
        <v>1859.924</v>
      </c>
      <c r="W110" s="110">
        <v>122699.95</v>
      </c>
      <c r="X110" s="110"/>
      <c r="Y110" s="110"/>
      <c r="Z110" s="276"/>
      <c r="AA110" s="110"/>
      <c r="AB110" s="269"/>
    </row>
    <row r="111" spans="1:34" ht="24">
      <c r="A111" s="220">
        <v>40009309</v>
      </c>
      <c r="B111" s="102">
        <v>33</v>
      </c>
      <c r="C111" s="98" t="s">
        <v>27</v>
      </c>
      <c r="D111" s="102">
        <v>432</v>
      </c>
      <c r="E111" s="96" t="s">
        <v>131</v>
      </c>
      <c r="F111" s="103" t="s">
        <v>307</v>
      </c>
      <c r="G111" s="96" t="s">
        <v>102</v>
      </c>
      <c r="H111" s="96" t="s">
        <v>308</v>
      </c>
      <c r="I111" s="96">
        <v>2019</v>
      </c>
      <c r="J111" s="96">
        <v>10023</v>
      </c>
      <c r="K111" s="141">
        <v>1000000</v>
      </c>
      <c r="L111" s="262" t="s">
        <v>309</v>
      </c>
      <c r="M111" s="100" t="s">
        <v>131</v>
      </c>
      <c r="N111" s="110">
        <v>26833</v>
      </c>
      <c r="O111" s="110">
        <v>161426</v>
      </c>
      <c r="P111" s="110">
        <f t="shared" si="3"/>
        <v>3430.3649999999998</v>
      </c>
      <c r="Q111" s="110"/>
      <c r="R111" s="269">
        <v>549.86400000000003</v>
      </c>
      <c r="S111" s="269">
        <v>-549.86400000000003</v>
      </c>
      <c r="T111" s="110"/>
      <c r="U111" s="110"/>
      <c r="V111" s="110">
        <v>1128.941</v>
      </c>
      <c r="W111" s="110">
        <v>2301.424</v>
      </c>
      <c r="X111" s="110"/>
      <c r="Y111" s="110"/>
      <c r="Z111" s="276"/>
      <c r="AA111" s="110"/>
      <c r="AB111" s="269"/>
    </row>
    <row r="112" spans="1:34" ht="24">
      <c r="A112" s="219">
        <v>40029266</v>
      </c>
      <c r="B112" s="96">
        <v>33</v>
      </c>
      <c r="C112" s="98" t="s">
        <v>27</v>
      </c>
      <c r="D112" s="59">
        <v>433</v>
      </c>
      <c r="E112" s="96" t="s">
        <v>131</v>
      </c>
      <c r="F112" s="103" t="s">
        <v>310</v>
      </c>
      <c r="G112" s="96" t="s">
        <v>102</v>
      </c>
      <c r="H112" s="96" t="s">
        <v>133</v>
      </c>
      <c r="I112" s="96">
        <v>2021</v>
      </c>
      <c r="J112" s="96">
        <v>11296</v>
      </c>
      <c r="K112" s="141">
        <v>2800000</v>
      </c>
      <c r="L112" s="96" t="s">
        <v>305</v>
      </c>
      <c r="M112" s="100" t="s">
        <v>131</v>
      </c>
      <c r="N112" s="110"/>
      <c r="O112" s="110"/>
      <c r="P112" s="110">
        <f t="shared" si="3"/>
        <v>0</v>
      </c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269"/>
    </row>
    <row r="113" spans="1:28" ht="24">
      <c r="A113" s="220">
        <v>40040997</v>
      </c>
      <c r="B113" s="102">
        <v>33</v>
      </c>
      <c r="C113" s="98" t="s">
        <v>27</v>
      </c>
      <c r="D113" s="111">
        <v>436</v>
      </c>
      <c r="E113" s="96" t="s">
        <v>131</v>
      </c>
      <c r="F113" s="103" t="s">
        <v>311</v>
      </c>
      <c r="G113" s="96" t="s">
        <v>102</v>
      </c>
      <c r="H113" s="96" t="s">
        <v>184</v>
      </c>
      <c r="I113" s="96">
        <v>2022</v>
      </c>
      <c r="J113" s="96">
        <v>12111</v>
      </c>
      <c r="K113" s="112">
        <v>134800</v>
      </c>
      <c r="L113" s="96" t="s">
        <v>299</v>
      </c>
      <c r="M113" s="100" t="s">
        <v>131</v>
      </c>
      <c r="N113" s="110">
        <v>38100</v>
      </c>
      <c r="O113" s="110">
        <v>38100</v>
      </c>
      <c r="P113" s="110">
        <f t="shared" si="3"/>
        <v>18471.665999999997</v>
      </c>
      <c r="Q113" s="110"/>
      <c r="R113" s="110"/>
      <c r="S113" s="110"/>
      <c r="T113" s="110"/>
      <c r="U113" s="110"/>
      <c r="V113" s="110">
        <v>10306.800999999999</v>
      </c>
      <c r="W113" s="110">
        <v>8164.8649999999998</v>
      </c>
      <c r="X113" s="110"/>
      <c r="Y113" s="110"/>
      <c r="Z113" s="110"/>
      <c r="AA113" s="110"/>
      <c r="AB113" s="269"/>
    </row>
    <row r="114" spans="1:28" ht="24">
      <c r="A114" s="220">
        <v>40040998</v>
      </c>
      <c r="B114" s="102">
        <v>33</v>
      </c>
      <c r="C114" s="98" t="s">
        <v>27</v>
      </c>
      <c r="D114" s="111">
        <v>437</v>
      </c>
      <c r="E114" s="96" t="s">
        <v>131</v>
      </c>
      <c r="F114" s="103" t="s">
        <v>312</v>
      </c>
      <c r="G114" s="96" t="s">
        <v>102</v>
      </c>
      <c r="H114" s="96" t="s">
        <v>184</v>
      </c>
      <c r="I114" s="96">
        <v>2022</v>
      </c>
      <c r="J114" s="96">
        <v>12111</v>
      </c>
      <c r="K114" s="112">
        <v>134980</v>
      </c>
      <c r="L114" s="96" t="s">
        <v>299</v>
      </c>
      <c r="M114" s="100" t="s">
        <v>131</v>
      </c>
      <c r="N114" s="110">
        <v>41980</v>
      </c>
      <c r="O114" s="110">
        <v>41980</v>
      </c>
      <c r="P114" s="110">
        <f t="shared" si="3"/>
        <v>16228.589</v>
      </c>
      <c r="Q114" s="110"/>
      <c r="R114" s="110"/>
      <c r="S114" s="110"/>
      <c r="T114" s="110">
        <v>5356.3739999999998</v>
      </c>
      <c r="U114" s="110"/>
      <c r="V114" s="110"/>
      <c r="W114" s="110">
        <v>10872.215</v>
      </c>
      <c r="X114" s="110"/>
      <c r="Y114" s="110"/>
      <c r="Z114" s="110"/>
      <c r="AA114" s="110"/>
      <c r="AB114" s="269"/>
    </row>
    <row r="115" spans="1:28" ht="24">
      <c r="A115" s="220">
        <v>40041008</v>
      </c>
      <c r="B115" s="102">
        <v>33</v>
      </c>
      <c r="C115" s="98" t="s">
        <v>27</v>
      </c>
      <c r="D115" s="111">
        <v>438</v>
      </c>
      <c r="E115" s="96" t="s">
        <v>131</v>
      </c>
      <c r="F115" s="103" t="s">
        <v>313</v>
      </c>
      <c r="G115" s="96" t="s">
        <v>102</v>
      </c>
      <c r="H115" s="96" t="s">
        <v>184</v>
      </c>
      <c r="I115" s="96">
        <v>2022</v>
      </c>
      <c r="J115" s="96">
        <v>12111</v>
      </c>
      <c r="K115" s="112">
        <v>133980</v>
      </c>
      <c r="L115" s="96" t="s">
        <v>299</v>
      </c>
      <c r="M115" s="100" t="s">
        <v>131</v>
      </c>
      <c r="N115" s="110">
        <v>30880</v>
      </c>
      <c r="O115" s="110">
        <v>30880</v>
      </c>
      <c r="P115" s="110">
        <f t="shared" si="3"/>
        <v>4903.2659999999996</v>
      </c>
      <c r="Q115" s="110"/>
      <c r="R115" s="110"/>
      <c r="S115" s="110"/>
      <c r="T115" s="110">
        <v>3828.703</v>
      </c>
      <c r="U115" s="110"/>
      <c r="V115" s="110"/>
      <c r="W115" s="110">
        <v>1074.5630000000001</v>
      </c>
      <c r="X115" s="110"/>
      <c r="Y115" s="110"/>
      <c r="Z115" s="110"/>
      <c r="AA115" s="110"/>
      <c r="AB115" s="269"/>
    </row>
    <row r="116" spans="1:28" ht="24">
      <c r="A116" s="220">
        <v>40041011</v>
      </c>
      <c r="B116" s="102">
        <v>33</v>
      </c>
      <c r="C116" s="98" t="s">
        <v>27</v>
      </c>
      <c r="D116" s="111">
        <v>439</v>
      </c>
      <c r="E116" s="96" t="s">
        <v>131</v>
      </c>
      <c r="F116" s="103" t="s">
        <v>314</v>
      </c>
      <c r="G116" s="96" t="s">
        <v>102</v>
      </c>
      <c r="H116" s="96" t="s">
        <v>184</v>
      </c>
      <c r="I116" s="96">
        <v>2022</v>
      </c>
      <c r="J116" s="96">
        <v>12111</v>
      </c>
      <c r="K116" s="112">
        <v>134040</v>
      </c>
      <c r="L116" s="96" t="s">
        <v>299</v>
      </c>
      <c r="M116" s="100" t="s">
        <v>131</v>
      </c>
      <c r="N116" s="110">
        <v>20650</v>
      </c>
      <c r="O116" s="110">
        <v>20650</v>
      </c>
      <c r="P116" s="110">
        <f t="shared" si="3"/>
        <v>0</v>
      </c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</row>
    <row r="117" spans="1:28" ht="24">
      <c r="A117" s="220">
        <v>40041014</v>
      </c>
      <c r="B117" s="102">
        <v>33</v>
      </c>
      <c r="C117" s="98" t="s">
        <v>27</v>
      </c>
      <c r="D117" s="111">
        <v>440</v>
      </c>
      <c r="E117" s="96" t="s">
        <v>131</v>
      </c>
      <c r="F117" s="103" t="s">
        <v>315</v>
      </c>
      <c r="G117" s="96" t="s">
        <v>102</v>
      </c>
      <c r="H117" s="96" t="s">
        <v>182</v>
      </c>
      <c r="I117" s="96">
        <v>2022</v>
      </c>
      <c r="J117" s="96">
        <v>12111</v>
      </c>
      <c r="K117" s="112">
        <v>132120</v>
      </c>
      <c r="L117" s="96" t="s">
        <v>299</v>
      </c>
      <c r="M117" s="100" t="s">
        <v>131</v>
      </c>
      <c r="N117" s="110">
        <v>31890</v>
      </c>
      <c r="O117" s="110">
        <v>31890</v>
      </c>
      <c r="P117" s="110">
        <f t="shared" si="3"/>
        <v>0</v>
      </c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</row>
    <row r="118" spans="1:28" ht="24">
      <c r="A118" s="220">
        <v>40041015</v>
      </c>
      <c r="B118" s="102">
        <v>33</v>
      </c>
      <c r="C118" s="98" t="s">
        <v>27</v>
      </c>
      <c r="D118" s="111">
        <v>441</v>
      </c>
      <c r="E118" s="96" t="s">
        <v>131</v>
      </c>
      <c r="F118" s="103" t="s">
        <v>316</v>
      </c>
      <c r="G118" s="96" t="s">
        <v>102</v>
      </c>
      <c r="H118" s="96" t="s">
        <v>182</v>
      </c>
      <c r="I118" s="96">
        <v>2022</v>
      </c>
      <c r="J118" s="96">
        <v>12111</v>
      </c>
      <c r="K118" s="112">
        <v>104350</v>
      </c>
      <c r="L118" s="96" t="s">
        <v>299</v>
      </c>
      <c r="M118" s="100" t="s">
        <v>131</v>
      </c>
      <c r="N118" s="110">
        <v>41740</v>
      </c>
      <c r="O118" s="110">
        <v>41740</v>
      </c>
      <c r="P118" s="110">
        <f t="shared" si="3"/>
        <v>24491.505000000001</v>
      </c>
      <c r="Q118" s="110"/>
      <c r="R118" s="110"/>
      <c r="S118" s="110"/>
      <c r="T118" s="110"/>
      <c r="U118" s="110">
        <v>24491.505000000001</v>
      </c>
      <c r="V118" s="110"/>
      <c r="W118" s="110"/>
      <c r="X118" s="110"/>
      <c r="Y118" s="110"/>
      <c r="Z118" s="110"/>
      <c r="AA118" s="110"/>
      <c r="AB118" s="110"/>
    </row>
    <row r="119" spans="1:28" ht="36">
      <c r="A119" s="220">
        <v>40041019</v>
      </c>
      <c r="B119" s="102">
        <v>33</v>
      </c>
      <c r="C119" s="98" t="s">
        <v>27</v>
      </c>
      <c r="D119" s="111">
        <v>442</v>
      </c>
      <c r="E119" s="96" t="s">
        <v>131</v>
      </c>
      <c r="F119" s="103" t="s">
        <v>317</v>
      </c>
      <c r="G119" s="96" t="s">
        <v>102</v>
      </c>
      <c r="H119" s="96" t="s">
        <v>274</v>
      </c>
      <c r="I119" s="96">
        <v>2022</v>
      </c>
      <c r="J119" s="96">
        <v>12111</v>
      </c>
      <c r="K119" s="112">
        <v>126000</v>
      </c>
      <c r="L119" s="96" t="s">
        <v>299</v>
      </c>
      <c r="M119" s="100" t="s">
        <v>131</v>
      </c>
      <c r="N119" s="110">
        <v>31500</v>
      </c>
      <c r="O119" s="110">
        <v>31500</v>
      </c>
      <c r="P119" s="110">
        <f t="shared" si="3"/>
        <v>0</v>
      </c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</row>
    <row r="120" spans="1:28" ht="24">
      <c r="A120" s="220">
        <v>40041035</v>
      </c>
      <c r="B120" s="102">
        <v>33</v>
      </c>
      <c r="C120" s="98" t="s">
        <v>27</v>
      </c>
      <c r="D120" s="111">
        <v>443</v>
      </c>
      <c r="E120" s="96" t="s">
        <v>131</v>
      </c>
      <c r="F120" s="103" t="s">
        <v>318</v>
      </c>
      <c r="G120" s="96" t="s">
        <v>102</v>
      </c>
      <c r="H120" s="96" t="s">
        <v>203</v>
      </c>
      <c r="I120" s="96">
        <v>2022</v>
      </c>
      <c r="J120" s="96">
        <v>12111</v>
      </c>
      <c r="K120" s="112">
        <v>127295</v>
      </c>
      <c r="L120" s="96" t="s">
        <v>319</v>
      </c>
      <c r="M120" s="100" t="s">
        <v>131</v>
      </c>
      <c r="N120" s="110">
        <v>49016</v>
      </c>
      <c r="O120" s="110">
        <v>49016</v>
      </c>
      <c r="P120" s="110">
        <f t="shared" si="3"/>
        <v>15348.098</v>
      </c>
      <c r="Q120" s="110"/>
      <c r="R120" s="110"/>
      <c r="S120" s="110"/>
      <c r="T120" s="110"/>
      <c r="U120" s="110"/>
      <c r="V120" s="110">
        <v>470.28</v>
      </c>
      <c r="W120" s="110">
        <v>14877.817999999999</v>
      </c>
      <c r="X120" s="110"/>
      <c r="Y120" s="110"/>
      <c r="Z120" s="110"/>
      <c r="AA120" s="110"/>
      <c r="AB120" s="269"/>
    </row>
    <row r="121" spans="1:28" ht="24">
      <c r="A121" s="220">
        <v>40041149</v>
      </c>
      <c r="B121" s="102">
        <v>33</v>
      </c>
      <c r="C121" s="98" t="s">
        <v>27</v>
      </c>
      <c r="D121" s="111">
        <v>444</v>
      </c>
      <c r="E121" s="96" t="s">
        <v>131</v>
      </c>
      <c r="F121" s="103" t="s">
        <v>320</v>
      </c>
      <c r="G121" s="96" t="s">
        <v>102</v>
      </c>
      <c r="H121" s="96" t="s">
        <v>182</v>
      </c>
      <c r="I121" s="96">
        <v>2022</v>
      </c>
      <c r="J121" s="96">
        <v>12111</v>
      </c>
      <c r="K121" s="112">
        <v>120274</v>
      </c>
      <c r="L121" s="96" t="s">
        <v>299</v>
      </c>
      <c r="M121" s="100" t="s">
        <v>131</v>
      </c>
      <c r="N121" s="110">
        <v>4590</v>
      </c>
      <c r="O121" s="110">
        <v>4590</v>
      </c>
      <c r="P121" s="110">
        <f t="shared" si="3"/>
        <v>0</v>
      </c>
      <c r="Q121" s="110"/>
      <c r="R121" s="110"/>
      <c r="S121" s="110"/>
      <c r="T121" s="110"/>
      <c r="U121" s="110"/>
      <c r="V121" s="110"/>
      <c r="W121" s="110"/>
      <c r="X121" s="110"/>
      <c r="Y121" s="110"/>
      <c r="Z121" s="276"/>
      <c r="AA121" s="110"/>
      <c r="AB121" s="269"/>
    </row>
    <row r="122" spans="1:28" ht="36">
      <c r="A122" s="220">
        <v>40041156</v>
      </c>
      <c r="B122" s="102">
        <v>33</v>
      </c>
      <c r="C122" s="98" t="s">
        <v>27</v>
      </c>
      <c r="D122" s="111">
        <v>445</v>
      </c>
      <c r="E122" s="96" t="s">
        <v>131</v>
      </c>
      <c r="F122" s="103" t="s">
        <v>321</v>
      </c>
      <c r="G122" s="96" t="s">
        <v>102</v>
      </c>
      <c r="H122" s="96" t="s">
        <v>274</v>
      </c>
      <c r="I122" s="96">
        <v>2022</v>
      </c>
      <c r="J122" s="96">
        <v>12150</v>
      </c>
      <c r="K122" s="112">
        <v>134704</v>
      </c>
      <c r="L122" s="96" t="s">
        <v>319</v>
      </c>
      <c r="M122" s="100" t="s">
        <v>131</v>
      </c>
      <c r="N122" s="110">
        <v>16233</v>
      </c>
      <c r="O122" s="110">
        <v>16233</v>
      </c>
      <c r="P122" s="110">
        <f t="shared" si="3"/>
        <v>0</v>
      </c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269"/>
    </row>
    <row r="123" spans="1:28" ht="24">
      <c r="A123" s="220">
        <v>40041158</v>
      </c>
      <c r="B123" s="102">
        <v>33</v>
      </c>
      <c r="C123" s="98" t="s">
        <v>27</v>
      </c>
      <c r="D123" s="111">
        <v>446</v>
      </c>
      <c r="E123" s="96" t="s">
        <v>131</v>
      </c>
      <c r="F123" s="103" t="s">
        <v>322</v>
      </c>
      <c r="G123" s="96" t="s">
        <v>102</v>
      </c>
      <c r="H123" s="96" t="s">
        <v>184</v>
      </c>
      <c r="I123" s="96">
        <v>2022</v>
      </c>
      <c r="J123" s="96">
        <v>12150</v>
      </c>
      <c r="K123" s="112">
        <v>134120</v>
      </c>
      <c r="L123" s="96" t="s">
        <v>299</v>
      </c>
      <c r="M123" s="100" t="s">
        <v>131</v>
      </c>
      <c r="N123" s="110">
        <v>32380</v>
      </c>
      <c r="O123" s="110">
        <v>32380</v>
      </c>
      <c r="P123" s="110">
        <f t="shared" si="3"/>
        <v>0</v>
      </c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</row>
    <row r="124" spans="1:28" ht="24">
      <c r="A124" s="220">
        <v>40041162</v>
      </c>
      <c r="B124" s="102">
        <v>33</v>
      </c>
      <c r="C124" s="98" t="s">
        <v>27</v>
      </c>
      <c r="D124" s="111">
        <v>447</v>
      </c>
      <c r="E124" s="96" t="s">
        <v>131</v>
      </c>
      <c r="F124" s="103" t="s">
        <v>323</v>
      </c>
      <c r="G124" s="96" t="s">
        <v>102</v>
      </c>
      <c r="H124" s="96" t="s">
        <v>182</v>
      </c>
      <c r="I124" s="96">
        <v>2022</v>
      </c>
      <c r="J124" s="96">
        <v>12150</v>
      </c>
      <c r="K124" s="112">
        <v>127551</v>
      </c>
      <c r="L124" s="96" t="s">
        <v>299</v>
      </c>
      <c r="M124" s="100" t="s">
        <v>131</v>
      </c>
      <c r="N124" s="110">
        <v>33163</v>
      </c>
      <c r="O124" s="110">
        <v>33163</v>
      </c>
      <c r="P124" s="110">
        <f t="shared" si="3"/>
        <v>2563.3429999999998</v>
      </c>
      <c r="Q124" s="110"/>
      <c r="R124" s="110"/>
      <c r="S124" s="110"/>
      <c r="T124" s="110"/>
      <c r="U124" s="110">
        <v>2563.3429999999998</v>
      </c>
      <c r="V124" s="110"/>
      <c r="W124" s="110"/>
      <c r="X124" s="110"/>
      <c r="Y124" s="110"/>
      <c r="Z124" s="110"/>
      <c r="AA124" s="110"/>
      <c r="AB124" s="110"/>
    </row>
    <row r="125" spans="1:28" ht="24">
      <c r="A125" s="220">
        <v>40041168</v>
      </c>
      <c r="B125" s="102">
        <v>33</v>
      </c>
      <c r="C125" s="98" t="s">
        <v>27</v>
      </c>
      <c r="D125" s="111">
        <v>448</v>
      </c>
      <c r="E125" s="96" t="s">
        <v>131</v>
      </c>
      <c r="F125" s="103" t="s">
        <v>324</v>
      </c>
      <c r="G125" s="96" t="s">
        <v>102</v>
      </c>
      <c r="H125" s="96" t="s">
        <v>182</v>
      </c>
      <c r="I125" s="96">
        <v>2022</v>
      </c>
      <c r="J125" s="96">
        <v>12150</v>
      </c>
      <c r="K125" s="112">
        <v>102556</v>
      </c>
      <c r="L125" s="96" t="s">
        <v>299</v>
      </c>
      <c r="M125" s="100" t="s">
        <v>165</v>
      </c>
      <c r="N125" s="110">
        <v>13258</v>
      </c>
      <c r="O125" s="110">
        <v>13258</v>
      </c>
      <c r="P125" s="110">
        <f t="shared" si="3"/>
        <v>12778.056</v>
      </c>
      <c r="Q125" s="110"/>
      <c r="R125" s="110"/>
      <c r="S125" s="110">
        <v>12778.056</v>
      </c>
      <c r="T125" s="110"/>
      <c r="U125" s="110"/>
      <c r="V125" s="110"/>
      <c r="W125" s="110"/>
      <c r="X125" s="110"/>
      <c r="Y125" s="110"/>
      <c r="Z125" s="110"/>
      <c r="AA125" s="110"/>
      <c r="AB125" s="110"/>
    </row>
    <row r="126" spans="1:28" ht="24">
      <c r="A126" s="220">
        <v>40043075</v>
      </c>
      <c r="B126" s="102">
        <v>33</v>
      </c>
      <c r="C126" s="98" t="s">
        <v>27</v>
      </c>
      <c r="D126" s="111">
        <v>449</v>
      </c>
      <c r="E126" s="96" t="s">
        <v>131</v>
      </c>
      <c r="F126" s="103" t="s">
        <v>325</v>
      </c>
      <c r="G126" s="96" t="s">
        <v>102</v>
      </c>
      <c r="H126" s="96" t="s">
        <v>184</v>
      </c>
      <c r="I126" s="96">
        <v>2022</v>
      </c>
      <c r="J126" s="96">
        <v>12456</v>
      </c>
      <c r="K126" s="112">
        <v>1000000</v>
      </c>
      <c r="L126" s="96" t="s">
        <v>326</v>
      </c>
      <c r="M126" s="100" t="s">
        <v>131</v>
      </c>
      <c r="N126" s="110"/>
      <c r="O126" s="110"/>
      <c r="P126" s="110">
        <f t="shared" si="3"/>
        <v>0</v>
      </c>
      <c r="Q126" s="110"/>
      <c r="R126" s="110"/>
      <c r="S126" s="110"/>
      <c r="T126" s="110"/>
      <c r="U126" s="110"/>
      <c r="V126" s="110"/>
      <c r="W126" s="110"/>
      <c r="X126" s="110"/>
      <c r="Y126" s="110"/>
      <c r="Z126" s="276"/>
      <c r="AA126" s="110"/>
      <c r="AB126" s="110"/>
    </row>
    <row r="127" spans="1:28" ht="24">
      <c r="A127" s="219">
        <v>40037922</v>
      </c>
      <c r="B127" s="112">
        <v>33</v>
      </c>
      <c r="C127" s="115" t="s">
        <v>27</v>
      </c>
      <c r="D127" s="59">
        <v>450</v>
      </c>
      <c r="E127" s="112" t="s">
        <v>131</v>
      </c>
      <c r="F127" s="103" t="s">
        <v>327</v>
      </c>
      <c r="G127" s="112" t="s">
        <v>102</v>
      </c>
      <c r="H127" s="96" t="s">
        <v>133</v>
      </c>
      <c r="I127" s="96">
        <v>2022</v>
      </c>
      <c r="J127" s="96">
        <v>12354</v>
      </c>
      <c r="K127" s="141">
        <v>350978</v>
      </c>
      <c r="L127" s="96" t="s">
        <v>328</v>
      </c>
      <c r="M127" s="100" t="s">
        <v>131</v>
      </c>
      <c r="N127" s="110">
        <v>44328</v>
      </c>
      <c r="O127" s="110">
        <v>105389</v>
      </c>
      <c r="P127" s="110">
        <f t="shared" si="3"/>
        <v>71477.277999999991</v>
      </c>
      <c r="Q127" s="110"/>
      <c r="R127" s="110"/>
      <c r="S127" s="110">
        <v>21601.728999999999</v>
      </c>
      <c r="T127" s="110"/>
      <c r="U127" s="110">
        <v>38540.142</v>
      </c>
      <c r="V127" s="110">
        <v>11335.406999999999</v>
      </c>
      <c r="W127" s="110"/>
      <c r="X127" s="110"/>
      <c r="Y127" s="110"/>
      <c r="Z127" s="276"/>
      <c r="AA127" s="110"/>
      <c r="AB127" s="110"/>
    </row>
    <row r="128" spans="1:28" ht="24">
      <c r="A128" s="220">
        <v>40041884</v>
      </c>
      <c r="B128" s="102">
        <v>33</v>
      </c>
      <c r="C128" s="98" t="s">
        <v>27</v>
      </c>
      <c r="D128" s="111">
        <v>451</v>
      </c>
      <c r="E128" s="96" t="s">
        <v>131</v>
      </c>
      <c r="F128" s="103" t="s">
        <v>329</v>
      </c>
      <c r="G128" s="96" t="s">
        <v>102</v>
      </c>
      <c r="H128" s="96" t="s">
        <v>184</v>
      </c>
      <c r="I128" s="96">
        <v>2022</v>
      </c>
      <c r="J128" s="96">
        <v>12453</v>
      </c>
      <c r="K128" s="112">
        <v>250000</v>
      </c>
      <c r="L128" s="96" t="s">
        <v>305</v>
      </c>
      <c r="M128" s="100" t="s">
        <v>131</v>
      </c>
      <c r="N128" s="110">
        <v>2807</v>
      </c>
      <c r="O128" s="110">
        <v>2807</v>
      </c>
      <c r="P128" s="110">
        <f t="shared" si="3"/>
        <v>0</v>
      </c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269"/>
    </row>
    <row r="129" spans="1:28" ht="24">
      <c r="A129" s="220">
        <v>40041885</v>
      </c>
      <c r="B129" s="102">
        <v>33</v>
      </c>
      <c r="C129" s="98" t="s">
        <v>27</v>
      </c>
      <c r="D129" s="111">
        <v>452</v>
      </c>
      <c r="E129" s="96" t="s">
        <v>131</v>
      </c>
      <c r="F129" s="103" t="s">
        <v>330</v>
      </c>
      <c r="G129" s="96" t="s">
        <v>102</v>
      </c>
      <c r="H129" s="96" t="s">
        <v>182</v>
      </c>
      <c r="I129" s="96">
        <v>2022</v>
      </c>
      <c r="J129" s="96">
        <v>12453</v>
      </c>
      <c r="K129" s="112">
        <v>250000</v>
      </c>
      <c r="L129" s="96" t="s">
        <v>305</v>
      </c>
      <c r="M129" s="100" t="s">
        <v>131</v>
      </c>
      <c r="N129" s="110">
        <v>6221</v>
      </c>
      <c r="O129" s="110">
        <v>6221</v>
      </c>
      <c r="P129" s="110">
        <f t="shared" si="3"/>
        <v>0</v>
      </c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</row>
    <row r="130" spans="1:28" ht="36">
      <c r="A130" s="220">
        <v>40041902</v>
      </c>
      <c r="B130" s="102">
        <v>33</v>
      </c>
      <c r="C130" s="98" t="s">
        <v>27</v>
      </c>
      <c r="D130" s="111">
        <v>453</v>
      </c>
      <c r="E130" s="96" t="s">
        <v>131</v>
      </c>
      <c r="F130" s="103" t="s">
        <v>331</v>
      </c>
      <c r="G130" s="96" t="s">
        <v>102</v>
      </c>
      <c r="H130" s="96" t="s">
        <v>182</v>
      </c>
      <c r="I130" s="96">
        <v>2022</v>
      </c>
      <c r="J130" s="96">
        <v>12453</v>
      </c>
      <c r="K130" s="112">
        <v>250000</v>
      </c>
      <c r="L130" s="96" t="s">
        <v>305</v>
      </c>
      <c r="M130" s="100" t="s">
        <v>131</v>
      </c>
      <c r="N130" s="110">
        <v>3841</v>
      </c>
      <c r="O130" s="110">
        <v>3841</v>
      </c>
      <c r="P130" s="110">
        <f t="shared" si="3"/>
        <v>2245.7150000000001</v>
      </c>
      <c r="Q130" s="110"/>
      <c r="R130" s="110"/>
      <c r="S130" s="110">
        <v>2245.7150000000001</v>
      </c>
      <c r="T130" s="110"/>
      <c r="U130" s="110"/>
      <c r="V130" s="110"/>
      <c r="W130" s="110"/>
      <c r="X130" s="110"/>
      <c r="Y130" s="110"/>
      <c r="Z130" s="110"/>
      <c r="AA130" s="110"/>
      <c r="AB130" s="269"/>
    </row>
    <row r="131" spans="1:28" ht="36">
      <c r="A131" s="219">
        <v>40036815</v>
      </c>
      <c r="B131" s="112">
        <v>33</v>
      </c>
      <c r="C131" s="115" t="s">
        <v>27</v>
      </c>
      <c r="D131" s="59">
        <v>454</v>
      </c>
      <c r="E131" s="112" t="s">
        <v>131</v>
      </c>
      <c r="F131" s="103" t="s">
        <v>332</v>
      </c>
      <c r="G131" s="112" t="s">
        <v>102</v>
      </c>
      <c r="H131" s="96" t="s">
        <v>274</v>
      </c>
      <c r="I131" s="96">
        <v>2022</v>
      </c>
      <c r="J131" s="96">
        <v>12542</v>
      </c>
      <c r="K131" s="141">
        <v>1068404</v>
      </c>
      <c r="L131" s="96" t="s">
        <v>333</v>
      </c>
      <c r="M131" s="100" t="s">
        <v>131</v>
      </c>
      <c r="N131" s="110">
        <v>173902</v>
      </c>
      <c r="O131" s="110">
        <v>259467</v>
      </c>
      <c r="P131" s="110">
        <f t="shared" ref="P131:P160" si="4">SUM(Q131:AB131)</f>
        <v>19334.581999999999</v>
      </c>
      <c r="Q131" s="110"/>
      <c r="R131" s="110"/>
      <c r="S131" s="110"/>
      <c r="T131" s="110"/>
      <c r="U131" s="110"/>
      <c r="V131" s="110"/>
      <c r="W131" s="110">
        <v>19334.581999999999</v>
      </c>
      <c r="X131" s="110"/>
      <c r="Y131" s="110"/>
      <c r="Z131" s="276"/>
      <c r="AA131" s="110"/>
      <c r="AB131" s="269"/>
    </row>
    <row r="132" spans="1:28" ht="36">
      <c r="A132" s="256">
        <v>40036472</v>
      </c>
      <c r="B132" s="102">
        <v>33</v>
      </c>
      <c r="C132" s="98" t="s">
        <v>27</v>
      </c>
      <c r="D132" s="257">
        <v>457</v>
      </c>
      <c r="E132" s="96" t="s">
        <v>131</v>
      </c>
      <c r="F132" s="103" t="s">
        <v>334</v>
      </c>
      <c r="G132" s="112" t="s">
        <v>102</v>
      </c>
      <c r="H132" s="96" t="s">
        <v>335</v>
      </c>
      <c r="I132" s="96">
        <v>2023</v>
      </c>
      <c r="J132" s="96">
        <v>13095</v>
      </c>
      <c r="K132" s="141">
        <v>1598200</v>
      </c>
      <c r="L132" s="96" t="s">
        <v>336</v>
      </c>
      <c r="M132" s="100" t="s">
        <v>131</v>
      </c>
      <c r="N132" s="110">
        <v>721455</v>
      </c>
      <c r="O132" s="110">
        <v>721455</v>
      </c>
      <c r="P132" s="110">
        <f t="shared" si="4"/>
        <v>8979.6579999999994</v>
      </c>
      <c r="Q132" s="110"/>
      <c r="R132" s="110"/>
      <c r="S132" s="110"/>
      <c r="T132" s="110">
        <v>3920</v>
      </c>
      <c r="U132" s="110"/>
      <c r="V132" s="110">
        <v>2400</v>
      </c>
      <c r="W132" s="110">
        <v>2659.6579999999999</v>
      </c>
      <c r="X132" s="110"/>
      <c r="Y132" s="110"/>
      <c r="Z132" s="110"/>
      <c r="AA132" s="110"/>
      <c r="AB132" s="110"/>
    </row>
    <row r="133" spans="1:28" ht="36">
      <c r="A133" s="256">
        <v>40056103</v>
      </c>
      <c r="B133" s="102">
        <v>33</v>
      </c>
      <c r="C133" s="98" t="s">
        <v>27</v>
      </c>
      <c r="D133" s="96">
        <v>460</v>
      </c>
      <c r="E133" s="96" t="s">
        <v>131</v>
      </c>
      <c r="F133" s="103" t="s">
        <v>337</v>
      </c>
      <c r="G133" s="112" t="s">
        <v>102</v>
      </c>
      <c r="H133" s="96" t="s">
        <v>308</v>
      </c>
      <c r="I133" s="96">
        <v>2023</v>
      </c>
      <c r="J133" s="96">
        <v>13478</v>
      </c>
      <c r="K133" s="141">
        <v>154723</v>
      </c>
      <c r="L133" s="96" t="s">
        <v>299</v>
      </c>
      <c r="M133" s="100" t="s">
        <v>338</v>
      </c>
      <c r="N133" s="110">
        <v>92833</v>
      </c>
      <c r="O133" s="110">
        <v>92833</v>
      </c>
      <c r="P133" s="110">
        <f t="shared" si="4"/>
        <v>0</v>
      </c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</row>
    <row r="134" spans="1:28" ht="48">
      <c r="A134" s="256">
        <v>40055713</v>
      </c>
      <c r="B134" s="102">
        <v>33</v>
      </c>
      <c r="C134" s="98" t="s">
        <v>27</v>
      </c>
      <c r="D134" s="96">
        <v>461</v>
      </c>
      <c r="E134" s="96" t="s">
        <v>131</v>
      </c>
      <c r="F134" s="103" t="s">
        <v>339</v>
      </c>
      <c r="G134" s="112" t="s">
        <v>102</v>
      </c>
      <c r="H134" s="96" t="s">
        <v>133</v>
      </c>
      <c r="I134" s="96">
        <v>2023</v>
      </c>
      <c r="J134" s="96">
        <v>13568</v>
      </c>
      <c r="K134" s="141">
        <v>447200</v>
      </c>
      <c r="L134" s="96" t="s">
        <v>340</v>
      </c>
      <c r="M134" s="100" t="s">
        <v>131</v>
      </c>
      <c r="N134" s="110">
        <v>447200</v>
      </c>
      <c r="O134" s="110">
        <v>447200</v>
      </c>
      <c r="P134" s="110">
        <f t="shared" si="4"/>
        <v>65510.508999999998</v>
      </c>
      <c r="Q134" s="110"/>
      <c r="R134" s="110"/>
      <c r="S134" s="110"/>
      <c r="T134" s="110"/>
      <c r="U134" s="110"/>
      <c r="V134" s="110"/>
      <c r="W134" s="110">
        <v>65510.508999999998</v>
      </c>
      <c r="X134" s="110"/>
      <c r="Y134" s="110"/>
      <c r="Z134" s="110"/>
      <c r="AA134" s="110"/>
      <c r="AB134" s="110"/>
    </row>
    <row r="135" spans="1:28" ht="36">
      <c r="A135" s="256">
        <v>40046475</v>
      </c>
      <c r="B135" s="102">
        <v>33</v>
      </c>
      <c r="C135" s="98" t="s">
        <v>27</v>
      </c>
      <c r="D135" s="96">
        <v>462</v>
      </c>
      <c r="E135" s="96" t="s">
        <v>131</v>
      </c>
      <c r="F135" s="103" t="s">
        <v>341</v>
      </c>
      <c r="G135" s="112" t="s">
        <v>102</v>
      </c>
      <c r="H135" s="96" t="s">
        <v>133</v>
      </c>
      <c r="I135" s="96">
        <v>2023</v>
      </c>
      <c r="J135" s="96">
        <v>13524</v>
      </c>
      <c r="K135" s="141">
        <v>1299877</v>
      </c>
      <c r="L135" s="96" t="s">
        <v>340</v>
      </c>
      <c r="M135" s="100" t="s">
        <v>131</v>
      </c>
      <c r="N135" s="110">
        <v>704453</v>
      </c>
      <c r="O135" s="110">
        <v>704453</v>
      </c>
      <c r="P135" s="110">
        <f t="shared" si="4"/>
        <v>6255.9369999999999</v>
      </c>
      <c r="Q135" s="110"/>
      <c r="R135" s="110"/>
      <c r="S135" s="110"/>
      <c r="T135" s="110"/>
      <c r="U135" s="110"/>
      <c r="V135" s="110">
        <v>6255.9369999999999</v>
      </c>
      <c r="W135" s="110"/>
      <c r="X135" s="110"/>
      <c r="Y135" s="110"/>
      <c r="Z135" s="110"/>
      <c r="AA135" s="110"/>
      <c r="AB135" s="269"/>
    </row>
    <row r="136" spans="1:28" ht="40.5" customHeight="1">
      <c r="A136" s="256">
        <v>40053081</v>
      </c>
      <c r="B136" s="102">
        <v>33</v>
      </c>
      <c r="C136" s="98" t="s">
        <v>27</v>
      </c>
      <c r="D136" s="96">
        <v>463</v>
      </c>
      <c r="E136" s="96" t="s">
        <v>131</v>
      </c>
      <c r="F136" s="103" t="s">
        <v>342</v>
      </c>
      <c r="G136" s="112" t="s">
        <v>102</v>
      </c>
      <c r="H136" s="96" t="s">
        <v>133</v>
      </c>
      <c r="I136" s="96">
        <v>2023</v>
      </c>
      <c r="J136" s="96">
        <v>13523</v>
      </c>
      <c r="K136" s="141">
        <v>840000</v>
      </c>
      <c r="L136" s="96" t="s">
        <v>305</v>
      </c>
      <c r="M136" s="100" t="s">
        <v>266</v>
      </c>
      <c r="N136" s="110">
        <v>600000</v>
      </c>
      <c r="O136" s="110">
        <v>600000</v>
      </c>
      <c r="P136" s="110">
        <f t="shared" si="4"/>
        <v>0</v>
      </c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</row>
    <row r="137" spans="1:28" ht="40.5" customHeight="1">
      <c r="A137" s="256">
        <v>40039511</v>
      </c>
      <c r="B137" s="102">
        <v>33</v>
      </c>
      <c r="C137" s="98" t="s">
        <v>27</v>
      </c>
      <c r="D137" s="96">
        <v>464</v>
      </c>
      <c r="E137" s="96" t="s">
        <v>131</v>
      </c>
      <c r="F137" s="103" t="s">
        <v>343</v>
      </c>
      <c r="G137" s="112" t="s">
        <v>102</v>
      </c>
      <c r="H137" s="96" t="s">
        <v>133</v>
      </c>
      <c r="I137" s="96">
        <v>2023</v>
      </c>
      <c r="J137" s="96">
        <v>13523</v>
      </c>
      <c r="K137" s="141">
        <v>1490000</v>
      </c>
      <c r="L137" s="96" t="s">
        <v>305</v>
      </c>
      <c r="M137" s="100" t="s">
        <v>266</v>
      </c>
      <c r="N137" s="110">
        <v>800000</v>
      </c>
      <c r="O137" s="110">
        <v>800000</v>
      </c>
      <c r="P137" s="110">
        <f t="shared" si="4"/>
        <v>0</v>
      </c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</row>
    <row r="138" spans="1:28" ht="36">
      <c r="A138" s="256">
        <v>40047555</v>
      </c>
      <c r="B138" s="102">
        <v>33</v>
      </c>
      <c r="C138" s="98" t="s">
        <v>27</v>
      </c>
      <c r="D138" s="96">
        <v>465</v>
      </c>
      <c r="E138" s="96" t="s">
        <v>131</v>
      </c>
      <c r="F138" s="103" t="s">
        <v>344</v>
      </c>
      <c r="G138" s="112" t="s">
        <v>102</v>
      </c>
      <c r="H138" s="96" t="s">
        <v>133</v>
      </c>
      <c r="I138" s="96">
        <v>2023</v>
      </c>
      <c r="J138" s="96">
        <v>13479</v>
      </c>
      <c r="K138" s="141">
        <v>2690000</v>
      </c>
      <c r="L138" s="96" t="s">
        <v>305</v>
      </c>
      <c r="M138" s="100" t="s">
        <v>266</v>
      </c>
      <c r="N138" s="110">
        <v>1500000</v>
      </c>
      <c r="O138" s="110">
        <v>1500000</v>
      </c>
      <c r="P138" s="110">
        <f t="shared" si="4"/>
        <v>0</v>
      </c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</row>
    <row r="139" spans="1:28" ht="36">
      <c r="A139" s="256">
        <v>40045727</v>
      </c>
      <c r="B139" s="102">
        <v>33</v>
      </c>
      <c r="C139" s="98" t="s">
        <v>27</v>
      </c>
      <c r="D139" s="96">
        <v>466</v>
      </c>
      <c r="E139" s="96" t="s">
        <v>131</v>
      </c>
      <c r="F139" s="103" t="s">
        <v>345</v>
      </c>
      <c r="G139" s="112" t="s">
        <v>102</v>
      </c>
      <c r="H139" s="96" t="s">
        <v>182</v>
      </c>
      <c r="I139" s="96">
        <v>2023</v>
      </c>
      <c r="J139" s="96">
        <v>13522</v>
      </c>
      <c r="K139" s="141">
        <v>769000</v>
      </c>
      <c r="L139" s="96" t="s">
        <v>346</v>
      </c>
      <c r="M139" s="100" t="s">
        <v>131</v>
      </c>
      <c r="N139" s="110">
        <v>491845</v>
      </c>
      <c r="O139" s="110">
        <v>491845</v>
      </c>
      <c r="P139" s="110">
        <f t="shared" si="4"/>
        <v>33806.952999999994</v>
      </c>
      <c r="Q139" s="110"/>
      <c r="R139" s="110"/>
      <c r="S139" s="110"/>
      <c r="T139" s="110">
        <v>10410</v>
      </c>
      <c r="U139" s="110"/>
      <c r="V139" s="110">
        <v>7215.6509999999998</v>
      </c>
      <c r="W139" s="110">
        <v>16181.302</v>
      </c>
      <c r="X139" s="110"/>
      <c r="Y139" s="110"/>
      <c r="Z139" s="276"/>
      <c r="AA139" s="110"/>
      <c r="AB139" s="269"/>
    </row>
    <row r="140" spans="1:28" ht="24">
      <c r="A140" s="219">
        <v>30108069</v>
      </c>
      <c r="B140" s="102">
        <v>31</v>
      </c>
      <c r="C140" s="98" t="s">
        <v>30</v>
      </c>
      <c r="D140" s="98" t="s">
        <v>42</v>
      </c>
      <c r="E140" s="96" t="s">
        <v>131</v>
      </c>
      <c r="F140" s="103" t="s">
        <v>347</v>
      </c>
      <c r="G140" s="96" t="s">
        <v>82</v>
      </c>
      <c r="H140" s="96" t="s">
        <v>153</v>
      </c>
      <c r="I140" s="96">
        <v>2017</v>
      </c>
      <c r="J140" s="59">
        <v>8952</v>
      </c>
      <c r="K140" s="137">
        <v>4621049</v>
      </c>
      <c r="L140" s="96" t="s">
        <v>147</v>
      </c>
      <c r="M140" s="100" t="s">
        <v>176</v>
      </c>
      <c r="N140" s="110">
        <v>1000</v>
      </c>
      <c r="O140" s="110"/>
      <c r="P140" s="110">
        <f t="shared" si="4"/>
        <v>0</v>
      </c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</row>
    <row r="141" spans="1:28" ht="24">
      <c r="A141" s="219">
        <v>30082130</v>
      </c>
      <c r="B141" s="96">
        <v>31</v>
      </c>
      <c r="C141" s="98" t="s">
        <v>30</v>
      </c>
      <c r="D141" s="98" t="s">
        <v>42</v>
      </c>
      <c r="E141" s="96" t="s">
        <v>131</v>
      </c>
      <c r="F141" s="103" t="s">
        <v>348</v>
      </c>
      <c r="G141" s="96" t="s">
        <v>93</v>
      </c>
      <c r="H141" s="96" t="s">
        <v>149</v>
      </c>
      <c r="I141" s="96">
        <v>2019</v>
      </c>
      <c r="J141" s="96">
        <v>10106</v>
      </c>
      <c r="K141" s="141">
        <v>802008</v>
      </c>
      <c r="L141" s="96" t="s">
        <v>134</v>
      </c>
      <c r="M141" s="100" t="s">
        <v>170</v>
      </c>
      <c r="N141" s="110">
        <v>450000</v>
      </c>
      <c r="O141" s="110"/>
      <c r="P141" s="110">
        <f t="shared" si="4"/>
        <v>0</v>
      </c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</row>
    <row r="142" spans="1:28" ht="24">
      <c r="A142" s="219">
        <v>40016397</v>
      </c>
      <c r="B142" s="102">
        <v>31</v>
      </c>
      <c r="C142" s="98" t="s">
        <v>30</v>
      </c>
      <c r="D142" s="98" t="s">
        <v>42</v>
      </c>
      <c r="E142" s="96" t="s">
        <v>131</v>
      </c>
      <c r="F142" s="103" t="s">
        <v>349</v>
      </c>
      <c r="G142" s="96" t="s">
        <v>91</v>
      </c>
      <c r="H142" s="96" t="s">
        <v>350</v>
      </c>
      <c r="I142" s="96">
        <v>2020</v>
      </c>
      <c r="J142" s="59">
        <v>10369</v>
      </c>
      <c r="K142" s="137">
        <v>73231</v>
      </c>
      <c r="L142" s="96" t="s">
        <v>158</v>
      </c>
      <c r="M142" s="100" t="s">
        <v>176</v>
      </c>
      <c r="N142" s="110">
        <v>14427</v>
      </c>
      <c r="O142" s="110"/>
      <c r="P142" s="110">
        <f t="shared" si="4"/>
        <v>0</v>
      </c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</row>
    <row r="143" spans="1:28" ht="36">
      <c r="A143" s="219">
        <v>30072951</v>
      </c>
      <c r="B143" s="96">
        <v>31</v>
      </c>
      <c r="C143" s="98" t="s">
        <v>30</v>
      </c>
      <c r="D143" s="98" t="s">
        <v>42</v>
      </c>
      <c r="E143" s="96" t="s">
        <v>138</v>
      </c>
      <c r="F143" s="103" t="s">
        <v>351</v>
      </c>
      <c r="G143" s="96" t="s">
        <v>97</v>
      </c>
      <c r="H143" s="96" t="s">
        <v>146</v>
      </c>
      <c r="I143" s="96">
        <v>2019</v>
      </c>
      <c r="J143" s="96">
        <v>10369</v>
      </c>
      <c r="K143" s="141">
        <v>908489</v>
      </c>
      <c r="L143" s="96" t="s">
        <v>134</v>
      </c>
      <c r="M143" s="100" t="s">
        <v>266</v>
      </c>
      <c r="N143" s="110">
        <v>290000</v>
      </c>
      <c r="O143" s="110">
        <v>45690</v>
      </c>
      <c r="P143" s="110">
        <f t="shared" si="4"/>
        <v>0</v>
      </c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</row>
    <row r="144" spans="1:28" ht="36">
      <c r="A144" s="219">
        <v>40009212</v>
      </c>
      <c r="B144" s="96">
        <v>31</v>
      </c>
      <c r="C144" s="136" t="s">
        <v>30</v>
      </c>
      <c r="D144" s="98" t="s">
        <v>42</v>
      </c>
      <c r="E144" s="96" t="s">
        <v>131</v>
      </c>
      <c r="F144" s="103" t="s">
        <v>352</v>
      </c>
      <c r="G144" s="96" t="s">
        <v>83</v>
      </c>
      <c r="H144" s="96" t="s">
        <v>146</v>
      </c>
      <c r="I144" s="96">
        <v>2019</v>
      </c>
      <c r="J144" s="96">
        <v>10369</v>
      </c>
      <c r="K144" s="141">
        <v>2375629.497</v>
      </c>
      <c r="L144" s="96" t="s">
        <v>172</v>
      </c>
      <c r="M144" s="100" t="s">
        <v>131</v>
      </c>
      <c r="N144" s="110">
        <v>361027.34299999988</v>
      </c>
      <c r="O144" s="110">
        <v>361028</v>
      </c>
      <c r="P144" s="110">
        <f t="shared" si="4"/>
        <v>105007.98000000001</v>
      </c>
      <c r="Q144" s="110"/>
      <c r="R144" s="110"/>
      <c r="S144" s="110"/>
      <c r="T144" s="110">
        <v>39627</v>
      </c>
      <c r="U144" s="110">
        <v>65380.98</v>
      </c>
      <c r="V144" s="110"/>
      <c r="W144" s="110"/>
      <c r="X144" s="110"/>
      <c r="Y144" s="110"/>
      <c r="Z144" s="110"/>
      <c r="AA144" s="110"/>
      <c r="AB144" s="110"/>
    </row>
    <row r="145" spans="1:28" ht="36">
      <c r="A145" s="219">
        <v>30140173</v>
      </c>
      <c r="B145" s="96">
        <v>31</v>
      </c>
      <c r="C145" s="98" t="s">
        <v>30</v>
      </c>
      <c r="D145" s="98" t="s">
        <v>42</v>
      </c>
      <c r="E145" s="96" t="s">
        <v>131</v>
      </c>
      <c r="F145" s="103" t="s">
        <v>353</v>
      </c>
      <c r="G145" s="96" t="s">
        <v>96</v>
      </c>
      <c r="H145" s="96" t="s">
        <v>160</v>
      </c>
      <c r="I145" s="96">
        <v>2019</v>
      </c>
      <c r="J145" s="96">
        <v>10369</v>
      </c>
      <c r="K145" s="141">
        <v>14934765</v>
      </c>
      <c r="L145" s="96" t="s">
        <v>134</v>
      </c>
      <c r="M145" s="100" t="s">
        <v>131</v>
      </c>
      <c r="N145" s="110">
        <v>246000</v>
      </c>
      <c r="O145" s="110">
        <v>304166</v>
      </c>
      <c r="P145" s="110">
        <f t="shared" si="4"/>
        <v>6706.84</v>
      </c>
      <c r="Q145" s="110"/>
      <c r="R145" s="110"/>
      <c r="S145" s="110"/>
      <c r="T145" s="110"/>
      <c r="U145" s="110">
        <v>6706.84</v>
      </c>
      <c r="V145" s="110"/>
      <c r="W145" s="110"/>
      <c r="X145" s="110"/>
      <c r="Y145" s="110"/>
      <c r="Z145" s="110"/>
      <c r="AA145" s="110"/>
      <c r="AB145" s="110"/>
    </row>
    <row r="146" spans="1:28" ht="24">
      <c r="A146" s="219">
        <v>30001033</v>
      </c>
      <c r="B146" s="96">
        <v>31</v>
      </c>
      <c r="C146" s="98" t="s">
        <v>30</v>
      </c>
      <c r="D146" s="98" t="s">
        <v>42</v>
      </c>
      <c r="E146" s="96" t="s">
        <v>138</v>
      </c>
      <c r="F146" s="103" t="s">
        <v>354</v>
      </c>
      <c r="G146" s="96" t="s">
        <v>83</v>
      </c>
      <c r="H146" s="96" t="s">
        <v>146</v>
      </c>
      <c r="I146" s="96">
        <v>2019</v>
      </c>
      <c r="J146" s="96">
        <v>10497</v>
      </c>
      <c r="K146" s="141">
        <v>957764</v>
      </c>
      <c r="L146" s="96" t="s">
        <v>156</v>
      </c>
      <c r="M146" s="100" t="s">
        <v>338</v>
      </c>
      <c r="N146" s="110">
        <v>380000</v>
      </c>
      <c r="O146" s="110">
        <v>331571</v>
      </c>
      <c r="P146" s="110">
        <f t="shared" si="4"/>
        <v>0</v>
      </c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</row>
    <row r="147" spans="1:28" ht="36">
      <c r="A147" s="219">
        <v>40008410</v>
      </c>
      <c r="B147" s="96">
        <v>33</v>
      </c>
      <c r="C147" s="98" t="s">
        <v>25</v>
      </c>
      <c r="D147" s="98" t="s">
        <v>355</v>
      </c>
      <c r="E147" s="96" t="s">
        <v>131</v>
      </c>
      <c r="F147" s="303" t="s">
        <v>356</v>
      </c>
      <c r="G147" s="96" t="s">
        <v>102</v>
      </c>
      <c r="H147" s="96" t="s">
        <v>149</v>
      </c>
      <c r="I147" s="96">
        <v>2018</v>
      </c>
      <c r="J147" s="96">
        <v>9771</v>
      </c>
      <c r="K147" s="141">
        <v>384104</v>
      </c>
      <c r="L147" s="96" t="s">
        <v>357</v>
      </c>
      <c r="M147" s="100" t="s">
        <v>131</v>
      </c>
      <c r="N147" s="110"/>
      <c r="O147" s="110"/>
      <c r="P147" s="110">
        <f t="shared" si="4"/>
        <v>0</v>
      </c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</row>
    <row r="148" spans="1:28" ht="36">
      <c r="A148" s="219">
        <v>40032549</v>
      </c>
      <c r="B148" s="112">
        <v>33</v>
      </c>
      <c r="C148" s="115" t="s">
        <v>25</v>
      </c>
      <c r="D148" s="115" t="s">
        <v>355</v>
      </c>
      <c r="E148" s="112" t="s">
        <v>131</v>
      </c>
      <c r="F148" s="303" t="s">
        <v>358</v>
      </c>
      <c r="G148" s="112" t="s">
        <v>102</v>
      </c>
      <c r="H148" s="96" t="s">
        <v>143</v>
      </c>
      <c r="I148" s="96">
        <v>2022</v>
      </c>
      <c r="J148" s="96">
        <v>12617</v>
      </c>
      <c r="K148" s="141">
        <v>1234058</v>
      </c>
      <c r="L148" s="96" t="s">
        <v>357</v>
      </c>
      <c r="M148" s="100" t="s">
        <v>131</v>
      </c>
      <c r="N148" s="110"/>
      <c r="O148" s="110"/>
      <c r="P148" s="110">
        <f t="shared" si="4"/>
        <v>0</v>
      </c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</row>
    <row r="149" spans="1:28" ht="36">
      <c r="A149" s="219">
        <v>40011478</v>
      </c>
      <c r="B149" s="96">
        <v>33</v>
      </c>
      <c r="C149" s="98" t="s">
        <v>25</v>
      </c>
      <c r="D149" s="98" t="s">
        <v>355</v>
      </c>
      <c r="E149" s="96" t="s">
        <v>131</v>
      </c>
      <c r="F149" s="303" t="s">
        <v>359</v>
      </c>
      <c r="G149" s="96" t="s">
        <v>102</v>
      </c>
      <c r="H149" s="96" t="s">
        <v>149</v>
      </c>
      <c r="I149" s="96">
        <v>2019</v>
      </c>
      <c r="J149" s="96">
        <v>10497</v>
      </c>
      <c r="K149" s="141">
        <v>2295967</v>
      </c>
      <c r="L149" s="96" t="s">
        <v>357</v>
      </c>
      <c r="M149" s="100" t="s">
        <v>360</v>
      </c>
      <c r="N149" s="110"/>
      <c r="O149" s="110"/>
      <c r="P149" s="110">
        <f t="shared" si="4"/>
        <v>0</v>
      </c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</row>
    <row r="150" spans="1:28" ht="24">
      <c r="A150" s="102" t="s">
        <v>207</v>
      </c>
      <c r="B150" s="102">
        <v>33</v>
      </c>
      <c r="C150" s="98" t="s">
        <v>25</v>
      </c>
      <c r="D150" s="209" t="s">
        <v>355</v>
      </c>
      <c r="E150" s="96" t="s">
        <v>207</v>
      </c>
      <c r="F150" s="103" t="s">
        <v>357</v>
      </c>
      <c r="G150" s="96" t="s">
        <v>102</v>
      </c>
      <c r="H150" s="96" t="s">
        <v>207</v>
      </c>
      <c r="I150" s="96" t="s">
        <v>207</v>
      </c>
      <c r="J150" s="96" t="s">
        <v>207</v>
      </c>
      <c r="K150" s="112" t="s">
        <v>209</v>
      </c>
      <c r="L150" s="96" t="s">
        <v>357</v>
      </c>
      <c r="M150" s="100" t="s">
        <v>361</v>
      </c>
      <c r="N150" s="110"/>
      <c r="O150" s="110"/>
      <c r="P150" s="110">
        <f t="shared" si="4"/>
        <v>0</v>
      </c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</row>
    <row r="151" spans="1:28" ht="36">
      <c r="A151" s="219">
        <v>40002463</v>
      </c>
      <c r="B151" s="96">
        <v>33</v>
      </c>
      <c r="C151" s="98" t="s">
        <v>25</v>
      </c>
      <c r="D151" s="98" t="s">
        <v>355</v>
      </c>
      <c r="E151" s="96" t="s">
        <v>131</v>
      </c>
      <c r="F151" s="303" t="s">
        <v>362</v>
      </c>
      <c r="G151" s="96" t="s">
        <v>102</v>
      </c>
      <c r="H151" s="96" t="s">
        <v>149</v>
      </c>
      <c r="I151" s="96">
        <v>2018</v>
      </c>
      <c r="J151" s="96">
        <v>9725</v>
      </c>
      <c r="K151" s="141">
        <v>412075</v>
      </c>
      <c r="L151" s="96" t="s">
        <v>357</v>
      </c>
      <c r="M151" s="100" t="s">
        <v>131</v>
      </c>
      <c r="N151" s="110"/>
      <c r="O151" s="110"/>
      <c r="P151" s="110">
        <f t="shared" si="4"/>
        <v>0</v>
      </c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</row>
    <row r="152" spans="1:28" ht="24">
      <c r="A152" s="219">
        <v>40039417</v>
      </c>
      <c r="B152" s="112">
        <v>33</v>
      </c>
      <c r="C152" s="115" t="s">
        <v>25</v>
      </c>
      <c r="D152" s="115" t="s">
        <v>355</v>
      </c>
      <c r="E152" s="112" t="s">
        <v>131</v>
      </c>
      <c r="F152" s="303" t="s">
        <v>363</v>
      </c>
      <c r="G152" s="112" t="s">
        <v>102</v>
      </c>
      <c r="H152" s="96" t="s">
        <v>133</v>
      </c>
      <c r="I152" s="96">
        <v>2022</v>
      </c>
      <c r="J152" s="96">
        <v>12627</v>
      </c>
      <c r="K152" s="141">
        <v>376952</v>
      </c>
      <c r="L152" s="96" t="s">
        <v>357</v>
      </c>
      <c r="M152" s="100" t="s">
        <v>131</v>
      </c>
      <c r="N152" s="110"/>
      <c r="O152" s="110"/>
      <c r="P152" s="110">
        <f t="shared" si="4"/>
        <v>0</v>
      </c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</row>
    <row r="153" spans="1:28" ht="36">
      <c r="A153" s="219">
        <v>40029740</v>
      </c>
      <c r="B153" s="112">
        <v>33</v>
      </c>
      <c r="C153" s="115" t="s">
        <v>25</v>
      </c>
      <c r="D153" s="115" t="s">
        <v>355</v>
      </c>
      <c r="E153" s="112" t="s">
        <v>131</v>
      </c>
      <c r="F153" s="303" t="s">
        <v>364</v>
      </c>
      <c r="G153" s="112" t="s">
        <v>102</v>
      </c>
      <c r="H153" s="96" t="s">
        <v>149</v>
      </c>
      <c r="I153" s="96">
        <v>2022</v>
      </c>
      <c r="J153" s="96">
        <v>12617</v>
      </c>
      <c r="K153" s="141">
        <v>382679</v>
      </c>
      <c r="L153" s="96" t="s">
        <v>357</v>
      </c>
      <c r="M153" s="100" t="s">
        <v>131</v>
      </c>
      <c r="N153" s="110"/>
      <c r="O153" s="110"/>
      <c r="P153" s="110">
        <f t="shared" si="4"/>
        <v>0</v>
      </c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</row>
    <row r="154" spans="1:28" ht="48">
      <c r="A154" s="102">
        <v>2401010</v>
      </c>
      <c r="B154" s="102">
        <v>24</v>
      </c>
      <c r="C154" s="98" t="s">
        <v>25</v>
      </c>
      <c r="D154" s="96" t="s">
        <v>365</v>
      </c>
      <c r="E154" s="96" t="s">
        <v>131</v>
      </c>
      <c r="F154" s="103" t="s">
        <v>366</v>
      </c>
      <c r="G154" s="96" t="s">
        <v>102</v>
      </c>
      <c r="H154" s="96" t="s">
        <v>211</v>
      </c>
      <c r="I154" s="96">
        <v>2011</v>
      </c>
      <c r="J154" s="96" t="s">
        <v>367</v>
      </c>
      <c r="K154" s="112" t="s">
        <v>209</v>
      </c>
      <c r="L154" s="96" t="s">
        <v>368</v>
      </c>
      <c r="M154" s="100" t="s">
        <v>131</v>
      </c>
      <c r="N154" s="110">
        <v>2000000</v>
      </c>
      <c r="O154" s="110"/>
      <c r="P154" s="110">
        <f t="shared" si="4"/>
        <v>0</v>
      </c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</row>
    <row r="155" spans="1:28" ht="24">
      <c r="A155" s="59">
        <v>2401300</v>
      </c>
      <c r="B155" s="102">
        <v>24</v>
      </c>
      <c r="C155" s="98" t="s">
        <v>25</v>
      </c>
      <c r="D155" s="96">
        <v>300</v>
      </c>
      <c r="E155" s="96" t="s">
        <v>131</v>
      </c>
      <c r="F155" s="103" t="s">
        <v>369</v>
      </c>
      <c r="G155" s="96" t="s">
        <v>102</v>
      </c>
      <c r="H155" s="96" t="s">
        <v>133</v>
      </c>
      <c r="I155" s="96">
        <v>2024</v>
      </c>
      <c r="J155" s="96" t="s">
        <v>209</v>
      </c>
      <c r="K155" s="112" t="s">
        <v>209</v>
      </c>
      <c r="L155" s="96" t="s">
        <v>368</v>
      </c>
      <c r="M155" s="100" t="s">
        <v>131</v>
      </c>
      <c r="N155" s="110">
        <v>5857447</v>
      </c>
      <c r="O155" s="110">
        <v>4672722</v>
      </c>
      <c r="P155" s="269">
        <f t="shared" si="4"/>
        <v>1101471.469</v>
      </c>
      <c r="Q155" s="110"/>
      <c r="R155" s="110"/>
      <c r="S155" s="110">
        <v>217996.58900000001</v>
      </c>
      <c r="T155" s="110">
        <v>178510.17600000001</v>
      </c>
      <c r="U155" s="269">
        <v>25649</v>
      </c>
      <c r="V155" s="110">
        <v>498975.60700000002</v>
      </c>
      <c r="W155" s="110">
        <v>180340.09700000001</v>
      </c>
      <c r="X155" s="110"/>
      <c r="Y155" s="110"/>
      <c r="Z155" s="110"/>
      <c r="AA155" s="110"/>
      <c r="AB155" s="110"/>
    </row>
    <row r="156" spans="1:28" ht="24">
      <c r="A156" s="102">
        <v>2403300</v>
      </c>
      <c r="B156" s="102">
        <v>24</v>
      </c>
      <c r="C156" s="98" t="s">
        <v>27</v>
      </c>
      <c r="D156" s="96">
        <v>300</v>
      </c>
      <c r="E156" s="96" t="s">
        <v>131</v>
      </c>
      <c r="F156" s="103" t="s">
        <v>370</v>
      </c>
      <c r="G156" s="96" t="s">
        <v>102</v>
      </c>
      <c r="H156" s="96" t="s">
        <v>133</v>
      </c>
      <c r="I156" s="96">
        <v>2024</v>
      </c>
      <c r="J156" s="96" t="s">
        <v>209</v>
      </c>
      <c r="K156" s="112" t="s">
        <v>209</v>
      </c>
      <c r="L156" s="96" t="s">
        <v>368</v>
      </c>
      <c r="M156" s="100" t="s">
        <v>131</v>
      </c>
      <c r="N156" s="110">
        <v>2000000</v>
      </c>
      <c r="O156" s="110">
        <v>770048</v>
      </c>
      <c r="P156" s="269">
        <f t="shared" si="4"/>
        <v>217093.49</v>
      </c>
      <c r="Q156" s="110"/>
      <c r="R156" s="110"/>
      <c r="S156" s="110"/>
      <c r="T156" s="110">
        <v>67847.303</v>
      </c>
      <c r="U156" s="269">
        <v>68966.182000000001</v>
      </c>
      <c r="V156" s="110">
        <v>28004.811000000002</v>
      </c>
      <c r="W156" s="110">
        <v>52275.194000000003</v>
      </c>
      <c r="X156" s="110"/>
      <c r="Y156" s="110"/>
      <c r="Z156" s="110"/>
      <c r="AA156" s="110"/>
      <c r="AB156" s="269"/>
    </row>
    <row r="157" spans="1:28" ht="24">
      <c r="A157" s="219">
        <v>40007897</v>
      </c>
      <c r="B157" s="102">
        <v>29</v>
      </c>
      <c r="C157" s="98" t="s">
        <v>27</v>
      </c>
      <c r="D157" s="98" t="s">
        <v>371</v>
      </c>
      <c r="E157" s="96" t="s">
        <v>131</v>
      </c>
      <c r="F157" s="103" t="s">
        <v>372</v>
      </c>
      <c r="G157" s="96" t="s">
        <v>85</v>
      </c>
      <c r="H157" s="96" t="s">
        <v>211</v>
      </c>
      <c r="I157" s="96">
        <v>2018</v>
      </c>
      <c r="J157" s="96">
        <v>9636</v>
      </c>
      <c r="K157" s="137">
        <v>278501</v>
      </c>
      <c r="L157" s="96" t="s">
        <v>194</v>
      </c>
      <c r="M157" s="100" t="s">
        <v>151</v>
      </c>
      <c r="N157" s="110">
        <v>120000</v>
      </c>
      <c r="O157" s="110">
        <v>1000</v>
      </c>
      <c r="P157" s="110">
        <f t="shared" si="4"/>
        <v>0</v>
      </c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</row>
    <row r="158" spans="1:28" ht="24">
      <c r="A158" s="219">
        <v>40018403</v>
      </c>
      <c r="B158" s="96">
        <v>29</v>
      </c>
      <c r="C158" s="98" t="s">
        <v>27</v>
      </c>
      <c r="D158" s="98" t="s">
        <v>373</v>
      </c>
      <c r="E158" s="96" t="s">
        <v>131</v>
      </c>
      <c r="F158" s="103" t="s">
        <v>374</v>
      </c>
      <c r="G158" s="96" t="s">
        <v>82</v>
      </c>
      <c r="H158" s="96" t="s">
        <v>146</v>
      </c>
      <c r="I158" s="96">
        <v>2020</v>
      </c>
      <c r="J158" s="96">
        <v>10686</v>
      </c>
      <c r="K158" s="141">
        <v>146911</v>
      </c>
      <c r="L158" s="96" t="s">
        <v>172</v>
      </c>
      <c r="M158" s="100" t="s">
        <v>144</v>
      </c>
      <c r="N158" s="110">
        <v>132055.49</v>
      </c>
      <c r="O158" s="110">
        <v>98347</v>
      </c>
      <c r="P158" s="110">
        <f t="shared" si="4"/>
        <v>98346.373000000007</v>
      </c>
      <c r="Q158" s="110"/>
      <c r="R158" s="110"/>
      <c r="S158" s="110"/>
      <c r="T158" s="110"/>
      <c r="U158" s="110">
        <v>98346.373000000007</v>
      </c>
      <c r="V158" s="110"/>
      <c r="W158" s="110"/>
      <c r="X158" s="110"/>
      <c r="Y158" s="110"/>
      <c r="Z158" s="110"/>
      <c r="AA158" s="110"/>
      <c r="AB158" s="110"/>
    </row>
    <row r="159" spans="1:28" ht="36">
      <c r="A159" s="219">
        <v>40016437</v>
      </c>
      <c r="B159" s="96">
        <v>29</v>
      </c>
      <c r="C159" s="98" t="s">
        <v>27</v>
      </c>
      <c r="D159" s="98" t="s">
        <v>375</v>
      </c>
      <c r="E159" s="96" t="s">
        <v>131</v>
      </c>
      <c r="F159" s="103" t="s">
        <v>376</v>
      </c>
      <c r="G159" s="96" t="s">
        <v>90</v>
      </c>
      <c r="H159" s="96" t="s">
        <v>146</v>
      </c>
      <c r="I159" s="96">
        <v>2019</v>
      </c>
      <c r="J159" s="96">
        <v>10340</v>
      </c>
      <c r="K159" s="141">
        <v>336706</v>
      </c>
      <c r="L159" s="96" t="s">
        <v>172</v>
      </c>
      <c r="M159" s="100" t="s">
        <v>144</v>
      </c>
      <c r="N159" s="110">
        <v>256579.46999999997</v>
      </c>
      <c r="O159" s="110">
        <v>196693</v>
      </c>
      <c r="P159" s="110">
        <f t="shared" si="4"/>
        <v>196692.74600000001</v>
      </c>
      <c r="Q159" s="110"/>
      <c r="R159" s="110"/>
      <c r="S159" s="110"/>
      <c r="T159" s="110"/>
      <c r="U159" s="110">
        <v>196692.74600000001</v>
      </c>
      <c r="V159" s="110"/>
      <c r="W159" s="110"/>
      <c r="X159" s="110"/>
      <c r="Y159" s="110"/>
      <c r="Z159" s="110"/>
      <c r="AA159" s="110"/>
      <c r="AB159" s="110"/>
    </row>
    <row r="160" spans="1:28" ht="36">
      <c r="A160" s="219">
        <v>40017099</v>
      </c>
      <c r="B160" s="96">
        <v>29</v>
      </c>
      <c r="C160" s="98" t="s">
        <v>27</v>
      </c>
      <c r="D160" s="98" t="s">
        <v>377</v>
      </c>
      <c r="E160" s="96" t="s">
        <v>131</v>
      </c>
      <c r="F160" s="103" t="s">
        <v>378</v>
      </c>
      <c r="G160" s="96" t="s">
        <v>96</v>
      </c>
      <c r="H160" s="96" t="s">
        <v>146</v>
      </c>
      <c r="I160" s="96">
        <v>2019</v>
      </c>
      <c r="J160" s="96">
        <v>10497</v>
      </c>
      <c r="K160" s="141">
        <v>220037</v>
      </c>
      <c r="L160" s="96" t="s">
        <v>172</v>
      </c>
      <c r="M160" s="100" t="s">
        <v>144</v>
      </c>
      <c r="N160" s="110">
        <v>224798.73499999999</v>
      </c>
      <c r="O160" s="110">
        <v>196693</v>
      </c>
      <c r="P160" s="110">
        <f t="shared" si="4"/>
        <v>196692.74600000001</v>
      </c>
      <c r="Q160" s="110"/>
      <c r="R160" s="110"/>
      <c r="S160" s="110"/>
      <c r="T160" s="110"/>
      <c r="U160" s="110">
        <v>196692.74600000001</v>
      </c>
      <c r="V160" s="110"/>
      <c r="W160" s="110"/>
      <c r="X160" s="110"/>
      <c r="Y160" s="110"/>
      <c r="Z160" s="110"/>
      <c r="AA160" s="110"/>
      <c r="AB160" s="110"/>
    </row>
    <row r="161" spans="1:28" ht="24">
      <c r="A161" s="219">
        <v>40025574</v>
      </c>
      <c r="B161" s="96">
        <v>29</v>
      </c>
      <c r="C161" s="98" t="s">
        <v>27</v>
      </c>
      <c r="D161" s="98" t="s">
        <v>379</v>
      </c>
      <c r="E161" s="96" t="s">
        <v>131</v>
      </c>
      <c r="F161" s="103" t="s">
        <v>380</v>
      </c>
      <c r="G161" s="96" t="s">
        <v>89</v>
      </c>
      <c r="H161" s="96" t="s">
        <v>146</v>
      </c>
      <c r="I161" s="96">
        <v>2021</v>
      </c>
      <c r="J161" s="96">
        <v>11453</v>
      </c>
      <c r="K161" s="141">
        <v>82367</v>
      </c>
      <c r="L161" s="96" t="s">
        <v>172</v>
      </c>
      <c r="M161" s="100" t="s">
        <v>144</v>
      </c>
      <c r="N161" s="110">
        <v>98346.373999999996</v>
      </c>
      <c r="O161" s="110">
        <v>98347</v>
      </c>
      <c r="P161" s="110">
        <f t="shared" ref="P161:P220" si="5">SUM(Q161:AB161)</f>
        <v>98346.373000000007</v>
      </c>
      <c r="Q161" s="110"/>
      <c r="R161" s="110"/>
      <c r="S161" s="110"/>
      <c r="T161" s="110"/>
      <c r="U161" s="110">
        <v>98346.373000000007</v>
      </c>
      <c r="V161" s="110"/>
      <c r="W161" s="110"/>
      <c r="X161" s="110"/>
      <c r="Y161" s="110"/>
      <c r="Z161" s="110"/>
      <c r="AA161" s="110"/>
      <c r="AB161" s="110"/>
    </row>
    <row r="162" spans="1:28" ht="24">
      <c r="A162" s="219">
        <v>40027272</v>
      </c>
      <c r="B162" s="96">
        <v>29</v>
      </c>
      <c r="C162" s="98" t="s">
        <v>27</v>
      </c>
      <c r="D162" s="98" t="s">
        <v>381</v>
      </c>
      <c r="E162" s="96" t="s">
        <v>131</v>
      </c>
      <c r="F162" s="103" t="s">
        <v>382</v>
      </c>
      <c r="G162" s="96" t="s">
        <v>86</v>
      </c>
      <c r="H162" s="96" t="s">
        <v>146</v>
      </c>
      <c r="I162" s="96">
        <v>2021</v>
      </c>
      <c r="J162" s="96">
        <v>11452</v>
      </c>
      <c r="K162" s="141">
        <v>87464</v>
      </c>
      <c r="L162" s="96" t="s">
        <v>172</v>
      </c>
      <c r="M162" s="100" t="s">
        <v>144</v>
      </c>
      <c r="N162" s="110">
        <v>98346.373999999996</v>
      </c>
      <c r="O162" s="110">
        <v>98347</v>
      </c>
      <c r="P162" s="110">
        <f t="shared" si="5"/>
        <v>98346.373000000007</v>
      </c>
      <c r="Q162" s="110"/>
      <c r="R162" s="110"/>
      <c r="S162" s="110"/>
      <c r="T162" s="110"/>
      <c r="U162" s="110">
        <v>98346.373000000007</v>
      </c>
      <c r="V162" s="110"/>
      <c r="W162" s="110"/>
      <c r="X162" s="110"/>
      <c r="Y162" s="110"/>
      <c r="Z162" s="110"/>
      <c r="AA162" s="110"/>
      <c r="AB162" s="110"/>
    </row>
    <row r="163" spans="1:28" ht="36">
      <c r="A163" s="219">
        <v>40029725</v>
      </c>
      <c r="B163" s="96">
        <v>29</v>
      </c>
      <c r="C163" s="98" t="s">
        <v>27</v>
      </c>
      <c r="D163" s="98" t="s">
        <v>383</v>
      </c>
      <c r="E163" s="96" t="s">
        <v>131</v>
      </c>
      <c r="F163" s="103" t="s">
        <v>384</v>
      </c>
      <c r="G163" s="96" t="s">
        <v>102</v>
      </c>
      <c r="H163" s="96" t="s">
        <v>149</v>
      </c>
      <c r="I163" s="96">
        <v>2021</v>
      </c>
      <c r="J163" s="96">
        <v>11454</v>
      </c>
      <c r="K163" s="141">
        <v>1115506</v>
      </c>
      <c r="L163" s="262" t="s">
        <v>385</v>
      </c>
      <c r="M163" s="100" t="s">
        <v>165</v>
      </c>
      <c r="N163" s="110"/>
      <c r="O163" s="110"/>
      <c r="P163" s="110">
        <f t="shared" si="5"/>
        <v>0</v>
      </c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</row>
    <row r="164" spans="1:28" ht="24">
      <c r="A164" s="219">
        <v>30100129</v>
      </c>
      <c r="B164" s="96">
        <v>31</v>
      </c>
      <c r="C164" s="98" t="s">
        <v>30</v>
      </c>
      <c r="D164" s="98" t="s">
        <v>386</v>
      </c>
      <c r="E164" s="96" t="s">
        <v>131</v>
      </c>
      <c r="F164" s="103" t="s">
        <v>387</v>
      </c>
      <c r="G164" s="112" t="s">
        <v>86</v>
      </c>
      <c r="H164" s="96" t="s">
        <v>146</v>
      </c>
      <c r="I164" s="96">
        <v>2023</v>
      </c>
      <c r="J164" s="96">
        <v>13693</v>
      </c>
      <c r="K164" s="141">
        <v>1265812</v>
      </c>
      <c r="L164" s="96" t="s">
        <v>134</v>
      </c>
      <c r="M164" s="100" t="s">
        <v>151</v>
      </c>
      <c r="N164" s="110">
        <v>126000</v>
      </c>
      <c r="O164" s="110">
        <v>76114</v>
      </c>
      <c r="P164" s="110">
        <f t="shared" si="5"/>
        <v>0</v>
      </c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</row>
    <row r="165" spans="1:28" ht="24">
      <c r="A165" s="219">
        <v>40040991</v>
      </c>
      <c r="B165" s="112">
        <v>33</v>
      </c>
      <c r="C165" s="115" t="s">
        <v>25</v>
      </c>
      <c r="D165" s="115" t="s">
        <v>388</v>
      </c>
      <c r="E165" s="112" t="s">
        <v>131</v>
      </c>
      <c r="F165" s="103" t="s">
        <v>389</v>
      </c>
      <c r="G165" s="112" t="s">
        <v>102</v>
      </c>
      <c r="H165" s="112" t="s">
        <v>133</v>
      </c>
      <c r="I165" s="112">
        <v>2022</v>
      </c>
      <c r="J165" s="112">
        <v>12111</v>
      </c>
      <c r="K165" s="141">
        <v>135000</v>
      </c>
      <c r="L165" s="96" t="s">
        <v>390</v>
      </c>
      <c r="M165" s="100" t="s">
        <v>131</v>
      </c>
      <c r="N165" s="110">
        <v>17224</v>
      </c>
      <c r="O165" s="110">
        <v>17224</v>
      </c>
      <c r="P165" s="110">
        <f t="shared" si="5"/>
        <v>6958.0569999999998</v>
      </c>
      <c r="Q165" s="110"/>
      <c r="R165" s="110"/>
      <c r="S165" s="110"/>
      <c r="T165" s="110"/>
      <c r="U165" s="110">
        <v>6958.0569999999998</v>
      </c>
      <c r="V165" s="110"/>
      <c r="W165" s="110"/>
      <c r="X165" s="110"/>
      <c r="Y165" s="110"/>
      <c r="Z165" s="110"/>
      <c r="AA165" s="110"/>
      <c r="AB165" s="269"/>
    </row>
    <row r="166" spans="1:28" ht="36">
      <c r="A166" s="219">
        <v>40040995</v>
      </c>
      <c r="B166" s="112">
        <v>33</v>
      </c>
      <c r="C166" s="115" t="s">
        <v>25</v>
      </c>
      <c r="D166" s="115" t="s">
        <v>391</v>
      </c>
      <c r="E166" s="112" t="s">
        <v>131</v>
      </c>
      <c r="F166" s="103" t="s">
        <v>392</v>
      </c>
      <c r="G166" s="112" t="s">
        <v>102</v>
      </c>
      <c r="H166" s="112" t="s">
        <v>184</v>
      </c>
      <c r="I166" s="112">
        <v>2022</v>
      </c>
      <c r="J166" s="112">
        <v>12111</v>
      </c>
      <c r="K166" s="141">
        <v>108000</v>
      </c>
      <c r="L166" s="96" t="s">
        <v>393</v>
      </c>
      <c r="M166" s="100" t="s">
        <v>131</v>
      </c>
      <c r="N166" s="110"/>
      <c r="O166" s="110"/>
      <c r="P166" s="110">
        <f t="shared" si="5"/>
        <v>0</v>
      </c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</row>
    <row r="167" spans="1:28" ht="24">
      <c r="A167" s="219">
        <v>40041001</v>
      </c>
      <c r="B167" s="112">
        <v>33</v>
      </c>
      <c r="C167" s="115" t="s">
        <v>25</v>
      </c>
      <c r="D167" s="115" t="s">
        <v>394</v>
      </c>
      <c r="E167" s="112" t="s">
        <v>131</v>
      </c>
      <c r="F167" s="103" t="s">
        <v>395</v>
      </c>
      <c r="G167" s="112" t="s">
        <v>102</v>
      </c>
      <c r="H167" s="112" t="s">
        <v>133</v>
      </c>
      <c r="I167" s="112">
        <v>2022</v>
      </c>
      <c r="J167" s="112">
        <v>12111</v>
      </c>
      <c r="K167" s="141">
        <v>134540</v>
      </c>
      <c r="L167" s="96" t="s">
        <v>396</v>
      </c>
      <c r="M167" s="100" t="s">
        <v>165</v>
      </c>
      <c r="N167" s="110"/>
      <c r="O167" s="110"/>
      <c r="P167" s="110">
        <f t="shared" si="5"/>
        <v>0</v>
      </c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</row>
    <row r="168" spans="1:28" ht="24">
      <c r="A168" s="219">
        <v>40041010</v>
      </c>
      <c r="B168" s="112">
        <v>33</v>
      </c>
      <c r="C168" s="115" t="s">
        <v>25</v>
      </c>
      <c r="D168" s="115" t="s">
        <v>397</v>
      </c>
      <c r="E168" s="112" t="s">
        <v>131</v>
      </c>
      <c r="F168" s="103" t="s">
        <v>398</v>
      </c>
      <c r="G168" s="112" t="s">
        <v>102</v>
      </c>
      <c r="H168" s="112" t="s">
        <v>184</v>
      </c>
      <c r="I168" s="112">
        <v>2022</v>
      </c>
      <c r="J168" s="112">
        <v>12111</v>
      </c>
      <c r="K168" s="141">
        <v>135000</v>
      </c>
      <c r="L168" s="96" t="s">
        <v>399</v>
      </c>
      <c r="M168" s="100" t="s">
        <v>131</v>
      </c>
      <c r="N168" s="110">
        <v>13500</v>
      </c>
      <c r="O168" s="110">
        <v>13500</v>
      </c>
      <c r="P168" s="110">
        <f t="shared" si="5"/>
        <v>0</v>
      </c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</row>
    <row r="169" spans="1:28" ht="36">
      <c r="A169" s="219">
        <v>40041017</v>
      </c>
      <c r="B169" s="112">
        <v>33</v>
      </c>
      <c r="C169" s="115" t="s">
        <v>25</v>
      </c>
      <c r="D169" s="115" t="s">
        <v>400</v>
      </c>
      <c r="E169" s="112" t="s">
        <v>131</v>
      </c>
      <c r="F169" s="103" t="s">
        <v>401</v>
      </c>
      <c r="G169" s="112" t="s">
        <v>102</v>
      </c>
      <c r="H169" s="112" t="s">
        <v>402</v>
      </c>
      <c r="I169" s="112">
        <v>2022</v>
      </c>
      <c r="J169" s="112">
        <v>12111</v>
      </c>
      <c r="K169" s="141">
        <v>76310</v>
      </c>
      <c r="L169" s="96" t="s">
        <v>393</v>
      </c>
      <c r="M169" s="100" t="s">
        <v>165</v>
      </c>
      <c r="N169" s="110"/>
      <c r="O169" s="110"/>
      <c r="P169" s="110">
        <f t="shared" si="5"/>
        <v>0</v>
      </c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</row>
    <row r="170" spans="1:28" ht="36">
      <c r="A170" s="219">
        <v>40041018</v>
      </c>
      <c r="B170" s="112">
        <v>33</v>
      </c>
      <c r="C170" s="115" t="s">
        <v>25</v>
      </c>
      <c r="D170" s="115" t="s">
        <v>403</v>
      </c>
      <c r="E170" s="112" t="s">
        <v>131</v>
      </c>
      <c r="F170" s="103" t="s">
        <v>404</v>
      </c>
      <c r="G170" s="112" t="s">
        <v>102</v>
      </c>
      <c r="H170" s="112" t="s">
        <v>308</v>
      </c>
      <c r="I170" s="112">
        <v>2022</v>
      </c>
      <c r="J170" s="112">
        <v>12111</v>
      </c>
      <c r="K170" s="141">
        <v>108000</v>
      </c>
      <c r="L170" s="96" t="s">
        <v>393</v>
      </c>
      <c r="M170" s="100" t="s">
        <v>165</v>
      </c>
      <c r="N170" s="110"/>
      <c r="O170" s="110"/>
      <c r="P170" s="110">
        <f t="shared" si="5"/>
        <v>0</v>
      </c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</row>
    <row r="171" spans="1:28" ht="36">
      <c r="A171" s="219">
        <v>40041020</v>
      </c>
      <c r="B171" s="112">
        <v>33</v>
      </c>
      <c r="C171" s="115" t="s">
        <v>25</v>
      </c>
      <c r="D171" s="115" t="s">
        <v>405</v>
      </c>
      <c r="E171" s="112" t="s">
        <v>131</v>
      </c>
      <c r="F171" s="103" t="s">
        <v>406</v>
      </c>
      <c r="G171" s="112" t="s">
        <v>102</v>
      </c>
      <c r="H171" s="96" t="s">
        <v>274</v>
      </c>
      <c r="I171" s="112">
        <v>2022</v>
      </c>
      <c r="J171" s="112">
        <v>12111</v>
      </c>
      <c r="K171" s="141">
        <v>135000</v>
      </c>
      <c r="L171" s="114" t="s">
        <v>399</v>
      </c>
      <c r="M171" s="100" t="s">
        <v>165</v>
      </c>
      <c r="N171" s="110"/>
      <c r="O171" s="110"/>
      <c r="P171" s="110">
        <f t="shared" si="5"/>
        <v>0</v>
      </c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</row>
    <row r="172" spans="1:28" ht="36">
      <c r="A172" s="219">
        <v>40041022</v>
      </c>
      <c r="B172" s="112">
        <v>33</v>
      </c>
      <c r="C172" s="115" t="s">
        <v>25</v>
      </c>
      <c r="D172" s="115" t="s">
        <v>407</v>
      </c>
      <c r="E172" s="112" t="s">
        <v>131</v>
      </c>
      <c r="F172" s="103" t="s">
        <v>408</v>
      </c>
      <c r="G172" s="112" t="s">
        <v>102</v>
      </c>
      <c r="H172" s="96" t="s">
        <v>308</v>
      </c>
      <c r="I172" s="112">
        <v>2022</v>
      </c>
      <c r="J172" s="112">
        <v>12111</v>
      </c>
      <c r="K172" s="141">
        <v>81710</v>
      </c>
      <c r="L172" s="265" t="s">
        <v>396</v>
      </c>
      <c r="M172" s="100" t="s">
        <v>165</v>
      </c>
      <c r="N172" s="110"/>
      <c r="O172" s="110"/>
      <c r="P172" s="110">
        <f t="shared" si="5"/>
        <v>0</v>
      </c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</row>
    <row r="173" spans="1:28" ht="36">
      <c r="A173" s="219">
        <v>40041026</v>
      </c>
      <c r="B173" s="112">
        <v>33</v>
      </c>
      <c r="C173" s="115" t="s">
        <v>25</v>
      </c>
      <c r="D173" s="115" t="s">
        <v>409</v>
      </c>
      <c r="E173" s="112" t="s">
        <v>131</v>
      </c>
      <c r="F173" s="103" t="s">
        <v>410</v>
      </c>
      <c r="G173" s="112" t="s">
        <v>102</v>
      </c>
      <c r="H173" s="96" t="s">
        <v>308</v>
      </c>
      <c r="I173" s="112">
        <v>2022</v>
      </c>
      <c r="J173" s="112">
        <v>12111</v>
      </c>
      <c r="K173" s="141">
        <v>135000</v>
      </c>
      <c r="L173" s="265" t="s">
        <v>396</v>
      </c>
      <c r="M173" s="100" t="s">
        <v>165</v>
      </c>
      <c r="N173" s="110"/>
      <c r="O173" s="110"/>
      <c r="P173" s="110">
        <f t="shared" si="5"/>
        <v>0</v>
      </c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</row>
    <row r="174" spans="1:28" ht="24">
      <c r="A174" s="219">
        <v>40041028</v>
      </c>
      <c r="B174" s="112">
        <v>33</v>
      </c>
      <c r="C174" s="115" t="s">
        <v>25</v>
      </c>
      <c r="D174" s="115" t="s">
        <v>411</v>
      </c>
      <c r="E174" s="112" t="s">
        <v>131</v>
      </c>
      <c r="F174" s="103" t="s">
        <v>412</v>
      </c>
      <c r="G174" s="112" t="s">
        <v>102</v>
      </c>
      <c r="H174" s="96" t="s">
        <v>308</v>
      </c>
      <c r="I174" s="112">
        <v>2022</v>
      </c>
      <c r="J174" s="112">
        <v>12111</v>
      </c>
      <c r="K174" s="141">
        <v>135000</v>
      </c>
      <c r="L174" s="265" t="s">
        <v>396</v>
      </c>
      <c r="M174" s="100" t="s">
        <v>165</v>
      </c>
      <c r="N174" s="110"/>
      <c r="O174" s="110"/>
      <c r="P174" s="110">
        <f t="shared" si="5"/>
        <v>0</v>
      </c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</row>
    <row r="175" spans="1:28" ht="36">
      <c r="A175" s="219">
        <v>40041031</v>
      </c>
      <c r="B175" s="112">
        <v>33</v>
      </c>
      <c r="C175" s="115" t="s">
        <v>25</v>
      </c>
      <c r="D175" s="115" t="s">
        <v>413</v>
      </c>
      <c r="E175" s="112" t="s">
        <v>131</v>
      </c>
      <c r="F175" s="103" t="s">
        <v>414</v>
      </c>
      <c r="G175" s="112" t="s">
        <v>102</v>
      </c>
      <c r="H175" s="96" t="s">
        <v>308</v>
      </c>
      <c r="I175" s="96">
        <v>2022</v>
      </c>
      <c r="J175" s="96">
        <v>12111</v>
      </c>
      <c r="K175" s="141">
        <v>135000</v>
      </c>
      <c r="L175" s="265" t="s">
        <v>396</v>
      </c>
      <c r="M175" s="100" t="s">
        <v>165</v>
      </c>
      <c r="N175" s="110"/>
      <c r="O175" s="110"/>
      <c r="P175" s="110">
        <f t="shared" si="5"/>
        <v>0</v>
      </c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</row>
    <row r="176" spans="1:28" ht="36">
      <c r="A176" s="219">
        <v>40041181</v>
      </c>
      <c r="B176" s="112">
        <v>33</v>
      </c>
      <c r="C176" s="115" t="s">
        <v>25</v>
      </c>
      <c r="D176" s="115" t="s">
        <v>415</v>
      </c>
      <c r="E176" s="112" t="s">
        <v>131</v>
      </c>
      <c r="F176" s="103" t="s">
        <v>416</v>
      </c>
      <c r="G176" s="112" t="s">
        <v>102</v>
      </c>
      <c r="H176" s="96" t="s">
        <v>274</v>
      </c>
      <c r="I176" s="112">
        <v>2022</v>
      </c>
      <c r="J176" s="112">
        <v>12111</v>
      </c>
      <c r="K176" s="141">
        <v>132205</v>
      </c>
      <c r="L176" s="114" t="s">
        <v>417</v>
      </c>
      <c r="M176" s="100" t="s">
        <v>165</v>
      </c>
      <c r="N176" s="110"/>
      <c r="O176" s="110"/>
      <c r="P176" s="110">
        <f t="shared" si="5"/>
        <v>0</v>
      </c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</row>
    <row r="177" spans="1:28" ht="36">
      <c r="A177" s="219">
        <v>40041033</v>
      </c>
      <c r="B177" s="112">
        <v>33</v>
      </c>
      <c r="C177" s="115" t="s">
        <v>25</v>
      </c>
      <c r="D177" s="115" t="s">
        <v>418</v>
      </c>
      <c r="E177" s="112" t="s">
        <v>131</v>
      </c>
      <c r="F177" s="103" t="s">
        <v>419</v>
      </c>
      <c r="G177" s="112" t="s">
        <v>102</v>
      </c>
      <c r="H177" s="96" t="s">
        <v>308</v>
      </c>
      <c r="I177" s="112">
        <v>2022</v>
      </c>
      <c r="J177" s="112">
        <v>12111</v>
      </c>
      <c r="K177" s="141">
        <v>134807</v>
      </c>
      <c r="L177" s="114" t="s">
        <v>420</v>
      </c>
      <c r="M177" s="100" t="s">
        <v>165</v>
      </c>
      <c r="N177" s="110"/>
      <c r="O177" s="110"/>
      <c r="P177" s="110">
        <f t="shared" si="5"/>
        <v>0</v>
      </c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</row>
    <row r="178" spans="1:28" ht="36">
      <c r="A178" s="219">
        <v>40041183</v>
      </c>
      <c r="B178" s="112">
        <v>33</v>
      </c>
      <c r="C178" s="115" t="s">
        <v>25</v>
      </c>
      <c r="D178" s="115" t="s">
        <v>421</v>
      </c>
      <c r="E178" s="112" t="s">
        <v>131</v>
      </c>
      <c r="F178" s="103" t="s">
        <v>422</v>
      </c>
      <c r="G178" s="112" t="s">
        <v>102</v>
      </c>
      <c r="H178" s="96" t="s">
        <v>274</v>
      </c>
      <c r="I178" s="112">
        <v>2022</v>
      </c>
      <c r="J178" s="112">
        <v>12111</v>
      </c>
      <c r="K178" s="141">
        <v>115155</v>
      </c>
      <c r="L178" s="114" t="s">
        <v>417</v>
      </c>
      <c r="M178" s="100" t="s">
        <v>165</v>
      </c>
      <c r="N178" s="110"/>
      <c r="O178" s="110"/>
      <c r="P178" s="110">
        <f t="shared" si="5"/>
        <v>0</v>
      </c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</row>
    <row r="179" spans="1:28" ht="48">
      <c r="A179" s="219">
        <v>40041037</v>
      </c>
      <c r="B179" s="112">
        <v>33</v>
      </c>
      <c r="C179" s="115" t="s">
        <v>25</v>
      </c>
      <c r="D179" s="115" t="s">
        <v>423</v>
      </c>
      <c r="E179" s="112" t="s">
        <v>131</v>
      </c>
      <c r="F179" s="103" t="s">
        <v>424</v>
      </c>
      <c r="G179" s="112" t="s">
        <v>102</v>
      </c>
      <c r="H179" s="96" t="s">
        <v>274</v>
      </c>
      <c r="I179" s="112">
        <v>2022</v>
      </c>
      <c r="J179" s="112">
        <v>12111</v>
      </c>
      <c r="K179" s="141">
        <v>134264</v>
      </c>
      <c r="L179" s="114" t="s">
        <v>425</v>
      </c>
      <c r="M179" s="100" t="s">
        <v>165</v>
      </c>
      <c r="N179" s="110"/>
      <c r="O179" s="110"/>
      <c r="P179" s="110">
        <f t="shared" si="5"/>
        <v>0</v>
      </c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</row>
    <row r="180" spans="1:28" ht="48">
      <c r="A180" s="219">
        <v>40041040</v>
      </c>
      <c r="B180" s="112">
        <v>33</v>
      </c>
      <c r="C180" s="115" t="s">
        <v>25</v>
      </c>
      <c r="D180" s="115" t="s">
        <v>426</v>
      </c>
      <c r="E180" s="112" t="s">
        <v>131</v>
      </c>
      <c r="F180" s="103" t="s">
        <v>427</v>
      </c>
      <c r="G180" s="112" t="s">
        <v>102</v>
      </c>
      <c r="H180" s="96" t="s">
        <v>274</v>
      </c>
      <c r="I180" s="112">
        <v>2022</v>
      </c>
      <c r="J180" s="112">
        <v>12111</v>
      </c>
      <c r="K180" s="141">
        <v>134770</v>
      </c>
      <c r="L180" s="114" t="s">
        <v>428</v>
      </c>
      <c r="M180" s="100" t="s">
        <v>131</v>
      </c>
      <c r="N180" s="110">
        <v>40100</v>
      </c>
      <c r="O180" s="110">
        <v>40100</v>
      </c>
      <c r="P180" s="110">
        <f t="shared" si="5"/>
        <v>0</v>
      </c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269"/>
    </row>
    <row r="181" spans="1:28" ht="36">
      <c r="A181" s="219">
        <v>40041044</v>
      </c>
      <c r="B181" s="112">
        <v>33</v>
      </c>
      <c r="C181" s="115" t="s">
        <v>25</v>
      </c>
      <c r="D181" s="115" t="s">
        <v>429</v>
      </c>
      <c r="E181" s="112" t="s">
        <v>131</v>
      </c>
      <c r="F181" s="103" t="s">
        <v>430</v>
      </c>
      <c r="G181" s="112" t="s">
        <v>102</v>
      </c>
      <c r="H181" s="96" t="s">
        <v>274</v>
      </c>
      <c r="I181" s="112">
        <v>2022</v>
      </c>
      <c r="J181" s="112">
        <v>12111</v>
      </c>
      <c r="K181" s="141">
        <v>135000</v>
      </c>
      <c r="L181" s="96" t="s">
        <v>431</v>
      </c>
      <c r="M181" s="100" t="s">
        <v>165</v>
      </c>
      <c r="N181" s="110"/>
      <c r="O181" s="110"/>
      <c r="P181" s="110">
        <f t="shared" si="5"/>
        <v>0</v>
      </c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</row>
    <row r="182" spans="1:28" ht="36">
      <c r="A182" s="219">
        <v>40041150</v>
      </c>
      <c r="B182" s="112">
        <v>33</v>
      </c>
      <c r="C182" s="115" t="s">
        <v>25</v>
      </c>
      <c r="D182" s="115" t="s">
        <v>432</v>
      </c>
      <c r="E182" s="112" t="s">
        <v>131</v>
      </c>
      <c r="F182" s="103" t="s">
        <v>433</v>
      </c>
      <c r="G182" s="112" t="s">
        <v>102</v>
      </c>
      <c r="H182" s="96" t="s">
        <v>402</v>
      </c>
      <c r="I182" s="112">
        <v>2022</v>
      </c>
      <c r="J182" s="112">
        <v>12111</v>
      </c>
      <c r="K182" s="141">
        <v>107530</v>
      </c>
      <c r="L182" s="96" t="s">
        <v>431</v>
      </c>
      <c r="M182" s="100" t="s">
        <v>165</v>
      </c>
      <c r="N182" s="110"/>
      <c r="O182" s="110"/>
      <c r="P182" s="110">
        <f t="shared" si="5"/>
        <v>0</v>
      </c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</row>
    <row r="183" spans="1:28" ht="36">
      <c r="A183" s="219">
        <v>40041152</v>
      </c>
      <c r="B183" s="112">
        <v>33</v>
      </c>
      <c r="C183" s="115" t="s">
        <v>25</v>
      </c>
      <c r="D183" s="115" t="s">
        <v>434</v>
      </c>
      <c r="E183" s="112" t="s">
        <v>131</v>
      </c>
      <c r="F183" s="103" t="s">
        <v>435</v>
      </c>
      <c r="G183" s="112" t="s">
        <v>102</v>
      </c>
      <c r="H183" s="96" t="s">
        <v>402</v>
      </c>
      <c r="I183" s="112">
        <v>2022</v>
      </c>
      <c r="J183" s="112">
        <v>12111</v>
      </c>
      <c r="K183" s="141">
        <v>133420</v>
      </c>
      <c r="L183" s="229" t="s">
        <v>436</v>
      </c>
      <c r="M183" s="100" t="s">
        <v>165</v>
      </c>
      <c r="N183" s="110"/>
      <c r="O183" s="110"/>
      <c r="P183" s="110">
        <f t="shared" si="5"/>
        <v>0</v>
      </c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</row>
    <row r="184" spans="1:28" ht="24">
      <c r="A184" s="219">
        <v>40041169</v>
      </c>
      <c r="B184" s="112">
        <v>33</v>
      </c>
      <c r="C184" s="115" t="s">
        <v>25</v>
      </c>
      <c r="D184" s="115" t="s">
        <v>437</v>
      </c>
      <c r="E184" s="112" t="s">
        <v>131</v>
      </c>
      <c r="F184" s="103" t="s">
        <v>438</v>
      </c>
      <c r="G184" s="112" t="s">
        <v>102</v>
      </c>
      <c r="H184" s="96" t="s">
        <v>308</v>
      </c>
      <c r="I184" s="96">
        <v>2022</v>
      </c>
      <c r="J184" s="96">
        <v>12150</v>
      </c>
      <c r="K184" s="141">
        <v>135000</v>
      </c>
      <c r="L184" s="96" t="s">
        <v>431</v>
      </c>
      <c r="M184" s="100" t="s">
        <v>165</v>
      </c>
      <c r="N184" s="110"/>
      <c r="O184" s="110"/>
      <c r="P184" s="110">
        <f t="shared" si="5"/>
        <v>0</v>
      </c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</row>
    <row r="185" spans="1:28" ht="36">
      <c r="A185" s="219">
        <v>40041171</v>
      </c>
      <c r="B185" s="112">
        <v>33</v>
      </c>
      <c r="C185" s="115" t="s">
        <v>25</v>
      </c>
      <c r="D185" s="115" t="s">
        <v>439</v>
      </c>
      <c r="E185" s="112" t="s">
        <v>131</v>
      </c>
      <c r="F185" s="103" t="s">
        <v>440</v>
      </c>
      <c r="G185" s="112" t="s">
        <v>102</v>
      </c>
      <c r="H185" s="96" t="s">
        <v>308</v>
      </c>
      <c r="I185" s="96">
        <v>2022</v>
      </c>
      <c r="J185" s="96">
        <v>12150</v>
      </c>
      <c r="K185" s="141">
        <v>135000</v>
      </c>
      <c r="L185" s="96" t="s">
        <v>431</v>
      </c>
      <c r="M185" s="100" t="s">
        <v>165</v>
      </c>
      <c r="N185" s="110"/>
      <c r="O185" s="110"/>
      <c r="P185" s="110">
        <f t="shared" si="5"/>
        <v>0</v>
      </c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</row>
    <row r="186" spans="1:28" ht="36">
      <c r="A186" s="219">
        <v>40041173</v>
      </c>
      <c r="B186" s="112">
        <v>33</v>
      </c>
      <c r="C186" s="115" t="s">
        <v>25</v>
      </c>
      <c r="D186" s="115" t="s">
        <v>441</v>
      </c>
      <c r="E186" s="112" t="s">
        <v>131</v>
      </c>
      <c r="F186" s="103" t="s">
        <v>442</v>
      </c>
      <c r="G186" s="112" t="s">
        <v>102</v>
      </c>
      <c r="H186" s="96" t="s">
        <v>308</v>
      </c>
      <c r="I186" s="96">
        <v>2022</v>
      </c>
      <c r="J186" s="96">
        <v>12150</v>
      </c>
      <c r="K186" s="141">
        <v>135000</v>
      </c>
      <c r="L186" s="229" t="s">
        <v>431</v>
      </c>
      <c r="M186" s="100" t="s">
        <v>165</v>
      </c>
      <c r="N186" s="110"/>
      <c r="O186" s="110"/>
      <c r="P186" s="110">
        <f t="shared" si="5"/>
        <v>0</v>
      </c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</row>
    <row r="187" spans="1:28" ht="36">
      <c r="A187" s="219">
        <v>40043869</v>
      </c>
      <c r="B187" s="112">
        <v>33</v>
      </c>
      <c r="C187" s="115" t="s">
        <v>25</v>
      </c>
      <c r="D187" s="115" t="s">
        <v>443</v>
      </c>
      <c r="E187" s="112" t="s">
        <v>131</v>
      </c>
      <c r="F187" s="103" t="s">
        <v>444</v>
      </c>
      <c r="G187" s="112" t="s">
        <v>102</v>
      </c>
      <c r="H187" s="96" t="s">
        <v>274</v>
      </c>
      <c r="I187" s="96">
        <v>2022</v>
      </c>
      <c r="J187" s="96">
        <v>12453</v>
      </c>
      <c r="K187" s="141">
        <v>198720</v>
      </c>
      <c r="L187" s="96" t="s">
        <v>393</v>
      </c>
      <c r="M187" s="100" t="s">
        <v>165</v>
      </c>
      <c r="N187" s="110"/>
      <c r="O187" s="110"/>
      <c r="P187" s="110">
        <f t="shared" si="5"/>
        <v>0</v>
      </c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</row>
    <row r="188" spans="1:28" ht="36">
      <c r="A188" s="219">
        <v>40035673</v>
      </c>
      <c r="B188" s="112">
        <v>33</v>
      </c>
      <c r="C188" s="115" t="s">
        <v>25</v>
      </c>
      <c r="D188" s="115" t="s">
        <v>445</v>
      </c>
      <c r="E188" s="112" t="s">
        <v>131</v>
      </c>
      <c r="F188" s="103" t="s">
        <v>446</v>
      </c>
      <c r="G188" s="112" t="s">
        <v>102</v>
      </c>
      <c r="H188" s="96" t="s">
        <v>274</v>
      </c>
      <c r="I188" s="96">
        <v>2022</v>
      </c>
      <c r="J188" s="96">
        <v>11932</v>
      </c>
      <c r="K188" s="141">
        <v>402112</v>
      </c>
      <c r="L188" s="232" t="s">
        <v>417</v>
      </c>
      <c r="M188" s="100" t="s">
        <v>165</v>
      </c>
      <c r="N188" s="110"/>
      <c r="O188" s="110"/>
      <c r="P188" s="110">
        <f t="shared" si="5"/>
        <v>0</v>
      </c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</row>
    <row r="189" spans="1:28" ht="36">
      <c r="A189" s="219">
        <v>40045967</v>
      </c>
      <c r="B189" s="112">
        <v>33</v>
      </c>
      <c r="C189" s="115" t="s">
        <v>25</v>
      </c>
      <c r="D189" s="115" t="s">
        <v>447</v>
      </c>
      <c r="E189" s="112" t="s">
        <v>131</v>
      </c>
      <c r="F189" s="103" t="s">
        <v>448</v>
      </c>
      <c r="G189" s="112" t="s">
        <v>102</v>
      </c>
      <c r="H189" s="96" t="s">
        <v>184</v>
      </c>
      <c r="I189" s="96">
        <v>2022</v>
      </c>
      <c r="J189" s="96">
        <v>12550</v>
      </c>
      <c r="K189" s="141">
        <v>270000</v>
      </c>
      <c r="L189" s="96" t="s">
        <v>449</v>
      </c>
      <c r="M189" s="100" t="s">
        <v>165</v>
      </c>
      <c r="N189" s="110"/>
      <c r="O189" s="110"/>
      <c r="P189" s="110">
        <f t="shared" si="5"/>
        <v>0</v>
      </c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</row>
    <row r="190" spans="1:28" ht="24">
      <c r="A190" s="219">
        <v>40043174</v>
      </c>
      <c r="B190" s="112">
        <v>33</v>
      </c>
      <c r="C190" s="115" t="s">
        <v>25</v>
      </c>
      <c r="D190" s="112" t="s">
        <v>450</v>
      </c>
      <c r="E190" s="115" t="s">
        <v>131</v>
      </c>
      <c r="F190" s="97" t="s">
        <v>451</v>
      </c>
      <c r="G190" s="112" t="s">
        <v>102</v>
      </c>
      <c r="H190" s="96" t="s">
        <v>182</v>
      </c>
      <c r="I190" s="96">
        <v>2022</v>
      </c>
      <c r="J190" s="96">
        <v>12550</v>
      </c>
      <c r="K190" s="141">
        <v>118118</v>
      </c>
      <c r="L190" s="229" t="s">
        <v>452</v>
      </c>
      <c r="M190" s="100" t="s">
        <v>165</v>
      </c>
      <c r="N190" s="211"/>
      <c r="O190" s="211"/>
      <c r="P190" s="110">
        <f t="shared" si="5"/>
        <v>0</v>
      </c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</row>
    <row r="191" spans="1:28" ht="36">
      <c r="A191" s="219">
        <v>40046018</v>
      </c>
      <c r="B191" s="112">
        <v>33</v>
      </c>
      <c r="C191" s="115" t="s">
        <v>25</v>
      </c>
      <c r="D191" s="115" t="s">
        <v>453</v>
      </c>
      <c r="E191" s="112" t="s">
        <v>131</v>
      </c>
      <c r="F191" s="103" t="s">
        <v>454</v>
      </c>
      <c r="G191" s="249" t="s">
        <v>102</v>
      </c>
      <c r="H191" s="96" t="s">
        <v>182</v>
      </c>
      <c r="I191" s="96">
        <v>2022</v>
      </c>
      <c r="J191" s="96">
        <v>12627</v>
      </c>
      <c r="K191" s="141">
        <v>690507</v>
      </c>
      <c r="L191" s="232" t="s">
        <v>455</v>
      </c>
      <c r="M191" s="100" t="s">
        <v>165</v>
      </c>
      <c r="N191" s="110"/>
      <c r="O191" s="110"/>
      <c r="P191" s="110">
        <f t="shared" si="5"/>
        <v>0</v>
      </c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</row>
    <row r="192" spans="1:28" ht="36">
      <c r="A192" s="219">
        <v>40046834</v>
      </c>
      <c r="B192" s="112">
        <v>33</v>
      </c>
      <c r="C192" s="115" t="s">
        <v>25</v>
      </c>
      <c r="D192" s="115" t="s">
        <v>456</v>
      </c>
      <c r="E192" s="112" t="s">
        <v>131</v>
      </c>
      <c r="F192" s="103" t="s">
        <v>457</v>
      </c>
      <c r="G192" s="112" t="s">
        <v>102</v>
      </c>
      <c r="H192" s="96" t="s">
        <v>274</v>
      </c>
      <c r="I192" s="96">
        <v>2022</v>
      </c>
      <c r="J192" s="96">
        <v>12627</v>
      </c>
      <c r="K192" s="141">
        <v>297699</v>
      </c>
      <c r="L192" s="232" t="s">
        <v>458</v>
      </c>
      <c r="M192" s="100" t="s">
        <v>165</v>
      </c>
      <c r="N192" s="110"/>
      <c r="O192" s="110"/>
      <c r="P192" s="110">
        <f t="shared" si="5"/>
        <v>0</v>
      </c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</row>
    <row r="193" spans="1:28" ht="36">
      <c r="A193" s="219">
        <v>40045723</v>
      </c>
      <c r="B193" s="112">
        <v>33</v>
      </c>
      <c r="C193" s="115" t="s">
        <v>25</v>
      </c>
      <c r="D193" s="115" t="s">
        <v>459</v>
      </c>
      <c r="E193" s="112" t="s">
        <v>131</v>
      </c>
      <c r="F193" s="103" t="s">
        <v>460</v>
      </c>
      <c r="G193" s="112" t="s">
        <v>102</v>
      </c>
      <c r="H193" s="96" t="s">
        <v>274</v>
      </c>
      <c r="I193" s="96">
        <v>2022</v>
      </c>
      <c r="J193" s="96">
        <v>12627</v>
      </c>
      <c r="K193" s="141">
        <v>389620</v>
      </c>
      <c r="L193" s="96" t="s">
        <v>417</v>
      </c>
      <c r="M193" s="100" t="s">
        <v>165</v>
      </c>
      <c r="N193" s="110"/>
      <c r="O193" s="110"/>
      <c r="P193" s="110">
        <f t="shared" si="5"/>
        <v>0</v>
      </c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</row>
    <row r="194" spans="1:28" ht="36">
      <c r="A194" s="219">
        <v>40035761</v>
      </c>
      <c r="B194" s="112">
        <v>33</v>
      </c>
      <c r="C194" s="115" t="s">
        <v>25</v>
      </c>
      <c r="D194" s="115" t="s">
        <v>461</v>
      </c>
      <c r="E194" s="112" t="s">
        <v>131</v>
      </c>
      <c r="F194" s="103" t="s">
        <v>462</v>
      </c>
      <c r="G194" s="112" t="s">
        <v>102</v>
      </c>
      <c r="H194" s="96" t="s">
        <v>274</v>
      </c>
      <c r="I194" s="96">
        <v>2022</v>
      </c>
      <c r="J194" s="96">
        <v>12627</v>
      </c>
      <c r="K194" s="141">
        <v>439077</v>
      </c>
      <c r="L194" s="96" t="s">
        <v>417</v>
      </c>
      <c r="M194" s="100" t="s">
        <v>131</v>
      </c>
      <c r="N194" s="110"/>
      <c r="O194" s="110"/>
      <c r="P194" s="110">
        <f t="shared" si="5"/>
        <v>0</v>
      </c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</row>
    <row r="195" spans="1:28" ht="36">
      <c r="A195" s="219">
        <v>40035747</v>
      </c>
      <c r="B195" s="112">
        <v>33</v>
      </c>
      <c r="C195" s="115" t="s">
        <v>25</v>
      </c>
      <c r="D195" s="115" t="s">
        <v>463</v>
      </c>
      <c r="E195" s="112" t="s">
        <v>131</v>
      </c>
      <c r="F195" s="103" t="s">
        <v>464</v>
      </c>
      <c r="G195" s="112" t="s">
        <v>102</v>
      </c>
      <c r="H195" s="96" t="s">
        <v>274</v>
      </c>
      <c r="I195" s="96">
        <v>2022</v>
      </c>
      <c r="J195" s="96">
        <v>12627</v>
      </c>
      <c r="K195" s="141">
        <v>467944</v>
      </c>
      <c r="L195" s="96" t="s">
        <v>417</v>
      </c>
      <c r="M195" s="100" t="s">
        <v>165</v>
      </c>
      <c r="N195" s="110"/>
      <c r="O195" s="110"/>
      <c r="P195" s="110">
        <f t="shared" si="5"/>
        <v>0</v>
      </c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</row>
    <row r="196" spans="1:28" ht="36">
      <c r="A196" s="219">
        <v>40026000</v>
      </c>
      <c r="B196" s="112">
        <v>33</v>
      </c>
      <c r="C196" s="115" t="s">
        <v>25</v>
      </c>
      <c r="D196" s="115" t="s">
        <v>465</v>
      </c>
      <c r="E196" s="112" t="s">
        <v>131</v>
      </c>
      <c r="F196" s="103" t="s">
        <v>466</v>
      </c>
      <c r="G196" s="112" t="s">
        <v>102</v>
      </c>
      <c r="H196" s="96" t="s">
        <v>160</v>
      </c>
      <c r="I196" s="96">
        <v>2021</v>
      </c>
      <c r="J196" s="96">
        <v>11215</v>
      </c>
      <c r="K196" s="141">
        <v>83610</v>
      </c>
      <c r="L196" s="262" t="s">
        <v>467</v>
      </c>
      <c r="M196" s="100" t="s">
        <v>131</v>
      </c>
      <c r="N196" s="110"/>
      <c r="O196" s="110"/>
      <c r="P196" s="110">
        <f t="shared" si="5"/>
        <v>0</v>
      </c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</row>
    <row r="197" spans="1:28" ht="36">
      <c r="A197" s="219">
        <v>40046282</v>
      </c>
      <c r="B197" s="112">
        <v>33</v>
      </c>
      <c r="C197" s="115" t="s">
        <v>25</v>
      </c>
      <c r="D197" s="115" t="s">
        <v>468</v>
      </c>
      <c r="E197" s="112" t="s">
        <v>131</v>
      </c>
      <c r="F197" s="103" t="s">
        <v>469</v>
      </c>
      <c r="G197" s="112" t="s">
        <v>102</v>
      </c>
      <c r="H197" s="96" t="s">
        <v>133</v>
      </c>
      <c r="I197" s="96">
        <v>2022</v>
      </c>
      <c r="J197" s="96">
        <v>12661</v>
      </c>
      <c r="K197" s="141">
        <v>410800</v>
      </c>
      <c r="L197" s="96" t="s">
        <v>470</v>
      </c>
      <c r="M197" s="100" t="s">
        <v>131</v>
      </c>
      <c r="N197" s="110"/>
      <c r="O197" s="110"/>
      <c r="P197" s="110">
        <f t="shared" si="5"/>
        <v>0</v>
      </c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</row>
    <row r="198" spans="1:28" ht="24">
      <c r="A198" s="219">
        <v>40046143</v>
      </c>
      <c r="B198" s="112">
        <v>33</v>
      </c>
      <c r="C198" s="115" t="s">
        <v>25</v>
      </c>
      <c r="D198" s="115" t="s">
        <v>471</v>
      </c>
      <c r="E198" s="112" t="s">
        <v>131</v>
      </c>
      <c r="F198" s="103" t="s">
        <v>472</v>
      </c>
      <c r="G198" s="112" t="s">
        <v>102</v>
      </c>
      <c r="H198" s="96" t="s">
        <v>133</v>
      </c>
      <c r="I198" s="96">
        <v>2022</v>
      </c>
      <c r="J198" s="96">
        <v>12660</v>
      </c>
      <c r="K198" s="141">
        <v>240800</v>
      </c>
      <c r="L198" s="96" t="s">
        <v>473</v>
      </c>
      <c r="M198" s="100" t="s">
        <v>165</v>
      </c>
      <c r="N198" s="110"/>
      <c r="O198" s="110"/>
      <c r="P198" s="110">
        <f t="shared" si="5"/>
        <v>0</v>
      </c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</row>
    <row r="199" spans="1:28" ht="36">
      <c r="A199" s="219">
        <v>40046976</v>
      </c>
      <c r="B199" s="112">
        <v>33</v>
      </c>
      <c r="C199" s="115" t="s">
        <v>25</v>
      </c>
      <c r="D199" s="115" t="s">
        <v>474</v>
      </c>
      <c r="E199" s="112" t="s">
        <v>131</v>
      </c>
      <c r="F199" s="103" t="s">
        <v>475</v>
      </c>
      <c r="G199" s="112" t="s">
        <v>102</v>
      </c>
      <c r="H199" s="96" t="s">
        <v>182</v>
      </c>
      <c r="I199" s="96">
        <v>2022</v>
      </c>
      <c r="J199" s="96">
        <v>12672</v>
      </c>
      <c r="K199" s="141">
        <v>140576</v>
      </c>
      <c r="L199" s="232" t="s">
        <v>476</v>
      </c>
      <c r="M199" s="100" t="s">
        <v>165</v>
      </c>
      <c r="N199" s="110"/>
      <c r="O199" s="110"/>
      <c r="P199" s="110">
        <f t="shared" si="5"/>
        <v>0</v>
      </c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</row>
    <row r="200" spans="1:28" ht="24">
      <c r="A200" s="102" t="s">
        <v>207</v>
      </c>
      <c r="B200" s="96">
        <v>33</v>
      </c>
      <c r="C200" s="98" t="s">
        <v>27</v>
      </c>
      <c r="D200" s="98" t="s">
        <v>477</v>
      </c>
      <c r="E200" s="96" t="s">
        <v>207</v>
      </c>
      <c r="F200" s="103" t="s">
        <v>478</v>
      </c>
      <c r="G200" s="96" t="s">
        <v>207</v>
      </c>
      <c r="H200" s="96" t="s">
        <v>207</v>
      </c>
      <c r="I200" s="96" t="s">
        <v>207</v>
      </c>
      <c r="J200" s="96" t="s">
        <v>207</v>
      </c>
      <c r="K200" s="112" t="s">
        <v>209</v>
      </c>
      <c r="L200" s="96" t="s">
        <v>207</v>
      </c>
      <c r="M200" s="100" t="s">
        <v>209</v>
      </c>
      <c r="N200" s="110">
        <v>4374915</v>
      </c>
      <c r="O200" s="110">
        <v>4374915</v>
      </c>
      <c r="P200" s="110">
        <f t="shared" si="5"/>
        <v>0</v>
      </c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</row>
    <row r="201" spans="1:28" ht="24">
      <c r="A201" s="256">
        <v>40047932</v>
      </c>
      <c r="B201" s="102">
        <v>29</v>
      </c>
      <c r="C201" s="98" t="s">
        <v>27</v>
      </c>
      <c r="D201" s="96"/>
      <c r="E201" s="96" t="s">
        <v>131</v>
      </c>
      <c r="F201" s="103" t="s">
        <v>479</v>
      </c>
      <c r="G201" s="112" t="s">
        <v>90</v>
      </c>
      <c r="H201" s="96" t="s">
        <v>211</v>
      </c>
      <c r="I201" s="96">
        <v>2023</v>
      </c>
      <c r="J201" s="96">
        <v>13481</v>
      </c>
      <c r="K201" s="141">
        <v>801300</v>
      </c>
      <c r="L201" s="229" t="s">
        <v>480</v>
      </c>
      <c r="M201" s="100" t="s">
        <v>481</v>
      </c>
      <c r="N201" s="110">
        <v>1000</v>
      </c>
      <c r="O201" s="110"/>
      <c r="P201" s="110">
        <f t="shared" si="5"/>
        <v>0</v>
      </c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</row>
    <row r="202" spans="1:28" ht="36">
      <c r="A202" s="256">
        <v>40057058</v>
      </c>
      <c r="B202" s="102">
        <v>29</v>
      </c>
      <c r="C202" s="98" t="s">
        <v>27</v>
      </c>
      <c r="D202" s="96"/>
      <c r="E202" s="96" t="s">
        <v>131</v>
      </c>
      <c r="F202" s="103" t="s">
        <v>482</v>
      </c>
      <c r="G202" s="112" t="s">
        <v>99</v>
      </c>
      <c r="H202" s="96" t="s">
        <v>160</v>
      </c>
      <c r="I202" s="96">
        <v>2023</v>
      </c>
      <c r="J202" s="96">
        <v>13481</v>
      </c>
      <c r="K202" s="141">
        <v>915837</v>
      </c>
      <c r="L202" s="229" t="s">
        <v>480</v>
      </c>
      <c r="M202" s="100" t="s">
        <v>481</v>
      </c>
      <c r="N202" s="110">
        <v>1000</v>
      </c>
      <c r="O202" s="110"/>
      <c r="P202" s="110">
        <f t="shared" si="5"/>
        <v>0</v>
      </c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</row>
    <row r="203" spans="1:28" ht="36">
      <c r="A203" s="256">
        <v>40056980</v>
      </c>
      <c r="B203" s="102">
        <v>29</v>
      </c>
      <c r="C203" s="98" t="s">
        <v>27</v>
      </c>
      <c r="D203" s="96"/>
      <c r="E203" s="96" t="s">
        <v>131</v>
      </c>
      <c r="F203" s="103" t="s">
        <v>483</v>
      </c>
      <c r="G203" s="96" t="s">
        <v>82</v>
      </c>
      <c r="H203" s="96" t="s">
        <v>133</v>
      </c>
      <c r="I203" s="96">
        <v>2023</v>
      </c>
      <c r="J203" s="96">
        <v>13598</v>
      </c>
      <c r="K203" s="141">
        <v>649842</v>
      </c>
      <c r="L203" s="229" t="s">
        <v>214</v>
      </c>
      <c r="M203" s="100" t="s">
        <v>338</v>
      </c>
      <c r="N203" s="110">
        <v>1000</v>
      </c>
      <c r="O203" s="110">
        <v>25000</v>
      </c>
      <c r="P203" s="110">
        <f t="shared" si="5"/>
        <v>0</v>
      </c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</row>
    <row r="204" spans="1:28" ht="24">
      <c r="A204" s="256">
        <v>40023024</v>
      </c>
      <c r="B204" s="102">
        <v>29</v>
      </c>
      <c r="C204" s="98" t="s">
        <v>27</v>
      </c>
      <c r="D204" s="96"/>
      <c r="E204" s="96" t="s">
        <v>131</v>
      </c>
      <c r="F204" s="103" t="s">
        <v>484</v>
      </c>
      <c r="G204" s="112" t="s">
        <v>89</v>
      </c>
      <c r="H204" s="96" t="s">
        <v>133</v>
      </c>
      <c r="I204" s="96">
        <v>2023</v>
      </c>
      <c r="J204" s="96">
        <v>13481</v>
      </c>
      <c r="K204" s="141">
        <v>167442</v>
      </c>
      <c r="L204" s="229" t="s">
        <v>480</v>
      </c>
      <c r="M204" s="100" t="s">
        <v>163</v>
      </c>
      <c r="N204" s="110">
        <v>167442</v>
      </c>
      <c r="O204" s="110">
        <v>172580</v>
      </c>
      <c r="P204" s="110">
        <f t="shared" si="5"/>
        <v>0</v>
      </c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</row>
    <row r="205" spans="1:28">
      <c r="A205" s="96" t="s">
        <v>207</v>
      </c>
      <c r="B205" s="102">
        <v>33</v>
      </c>
      <c r="C205" s="98" t="s">
        <v>27</v>
      </c>
      <c r="D205" s="96"/>
      <c r="E205" s="96" t="s">
        <v>207</v>
      </c>
      <c r="F205" s="216" t="s">
        <v>485</v>
      </c>
      <c r="G205" s="96" t="s">
        <v>207</v>
      </c>
      <c r="H205" s="96" t="s">
        <v>207</v>
      </c>
      <c r="I205" s="96" t="s">
        <v>207</v>
      </c>
      <c r="J205" s="96" t="s">
        <v>207</v>
      </c>
      <c r="K205" s="141"/>
      <c r="L205" s="96" t="s">
        <v>207</v>
      </c>
      <c r="M205" s="100" t="s">
        <v>209</v>
      </c>
      <c r="N205" s="110">
        <v>5000000</v>
      </c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</row>
    <row r="206" spans="1:28" ht="36">
      <c r="A206" s="231">
        <v>40066214</v>
      </c>
      <c r="B206" s="102">
        <v>33</v>
      </c>
      <c r="C206" s="98" t="s">
        <v>27</v>
      </c>
      <c r="D206" s="96"/>
      <c r="E206" s="96" t="s">
        <v>131</v>
      </c>
      <c r="F206" s="216" t="s">
        <v>486</v>
      </c>
      <c r="G206" s="112" t="s">
        <v>90</v>
      </c>
      <c r="H206" s="96" t="s">
        <v>140</v>
      </c>
      <c r="I206" s="96">
        <v>2023</v>
      </c>
      <c r="J206" s="96">
        <v>13595</v>
      </c>
      <c r="K206" s="141">
        <v>410793</v>
      </c>
      <c r="L206" s="229" t="s">
        <v>487</v>
      </c>
      <c r="M206" s="100" t="s">
        <v>488</v>
      </c>
      <c r="N206" s="110"/>
      <c r="O206" s="110"/>
      <c r="P206" s="110">
        <f t="shared" si="5"/>
        <v>0</v>
      </c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</row>
    <row r="207" spans="1:28" ht="24">
      <c r="A207" s="231">
        <v>40066212</v>
      </c>
      <c r="B207" s="102">
        <v>33</v>
      </c>
      <c r="C207" s="98" t="s">
        <v>27</v>
      </c>
      <c r="D207" s="96"/>
      <c r="E207" s="96" t="s">
        <v>131</v>
      </c>
      <c r="F207" s="216" t="s">
        <v>489</v>
      </c>
      <c r="G207" s="112" t="s">
        <v>98</v>
      </c>
      <c r="H207" s="96" t="s">
        <v>261</v>
      </c>
      <c r="I207" s="96">
        <v>2023</v>
      </c>
      <c r="J207" s="96">
        <v>13595</v>
      </c>
      <c r="K207" s="141">
        <v>902098</v>
      </c>
      <c r="L207" s="229" t="s">
        <v>487</v>
      </c>
      <c r="M207" s="100" t="s">
        <v>488</v>
      </c>
      <c r="N207" s="110"/>
      <c r="O207" s="110"/>
      <c r="P207" s="110">
        <f t="shared" si="5"/>
        <v>0</v>
      </c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</row>
    <row r="208" spans="1:28" ht="36">
      <c r="A208" s="256">
        <v>40046841</v>
      </c>
      <c r="B208" s="102">
        <v>29</v>
      </c>
      <c r="C208" s="98" t="s">
        <v>27</v>
      </c>
      <c r="D208" s="96"/>
      <c r="E208" s="96" t="s">
        <v>131</v>
      </c>
      <c r="F208" s="103" t="s">
        <v>490</v>
      </c>
      <c r="G208" s="112" t="s">
        <v>83</v>
      </c>
      <c r="H208" s="96" t="s">
        <v>146</v>
      </c>
      <c r="I208" s="96">
        <v>2023</v>
      </c>
      <c r="J208" s="96">
        <v>13395</v>
      </c>
      <c r="K208" s="141">
        <v>340000</v>
      </c>
      <c r="L208" s="96" t="s">
        <v>172</v>
      </c>
      <c r="M208" s="100" t="s">
        <v>131</v>
      </c>
      <c r="N208" s="110">
        <v>354620</v>
      </c>
      <c r="O208" s="110">
        <v>354620</v>
      </c>
      <c r="P208" s="110">
        <f t="shared" si="5"/>
        <v>0</v>
      </c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</row>
    <row r="209" spans="1:28" ht="24">
      <c r="A209" s="256">
        <v>40055891</v>
      </c>
      <c r="B209" s="102">
        <v>29</v>
      </c>
      <c r="C209" s="98" t="s">
        <v>27</v>
      </c>
      <c r="D209" s="96"/>
      <c r="E209" s="96" t="s">
        <v>131</v>
      </c>
      <c r="F209" s="103" t="s">
        <v>491</v>
      </c>
      <c r="G209" s="112" t="s">
        <v>89</v>
      </c>
      <c r="H209" s="96" t="s">
        <v>146</v>
      </c>
      <c r="I209" s="96">
        <v>2023</v>
      </c>
      <c r="J209" s="96">
        <v>13396</v>
      </c>
      <c r="K209" s="141">
        <v>287433</v>
      </c>
      <c r="L209" s="96" t="s">
        <v>172</v>
      </c>
      <c r="M209" s="100" t="s">
        <v>165</v>
      </c>
      <c r="N209" s="110"/>
      <c r="O209" s="110"/>
      <c r="P209" s="110">
        <f t="shared" si="5"/>
        <v>0</v>
      </c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</row>
    <row r="210" spans="1:28" ht="70.5" customHeight="1">
      <c r="A210" s="256">
        <v>40056506</v>
      </c>
      <c r="B210" s="102">
        <v>29</v>
      </c>
      <c r="C210" s="98" t="s">
        <v>27</v>
      </c>
      <c r="D210" s="96"/>
      <c r="E210" s="96" t="s">
        <v>131</v>
      </c>
      <c r="F210" s="103" t="s">
        <v>492</v>
      </c>
      <c r="G210" s="112" t="s">
        <v>102</v>
      </c>
      <c r="H210" s="96" t="s">
        <v>149</v>
      </c>
      <c r="I210" s="96">
        <v>2023</v>
      </c>
      <c r="J210" s="96">
        <v>13481</v>
      </c>
      <c r="K210" s="141">
        <v>215585</v>
      </c>
      <c r="L210" s="229" t="s">
        <v>493</v>
      </c>
      <c r="M210" s="100" t="s">
        <v>165</v>
      </c>
      <c r="N210" s="110">
        <v>116098.261</v>
      </c>
      <c r="O210" s="110">
        <v>186248</v>
      </c>
      <c r="P210" s="110">
        <f t="shared" si="5"/>
        <v>186247.26</v>
      </c>
      <c r="Q210" s="110"/>
      <c r="R210" s="110"/>
      <c r="S210" s="110">
        <v>186247.26</v>
      </c>
      <c r="T210" s="110"/>
      <c r="U210" s="110"/>
      <c r="V210" s="110"/>
      <c r="W210" s="110"/>
      <c r="X210" s="110"/>
      <c r="Y210" s="110"/>
      <c r="Z210" s="110"/>
      <c r="AA210" s="110"/>
      <c r="AB210" s="110"/>
    </row>
    <row r="211" spans="1:28" ht="36">
      <c r="A211" s="256">
        <v>40047727</v>
      </c>
      <c r="B211" s="102">
        <v>29</v>
      </c>
      <c r="C211" s="98" t="s">
        <v>27</v>
      </c>
      <c r="D211" s="96"/>
      <c r="E211" s="96" t="s">
        <v>131</v>
      </c>
      <c r="F211" s="103" t="s">
        <v>494</v>
      </c>
      <c r="G211" s="112" t="s">
        <v>102</v>
      </c>
      <c r="H211" s="96" t="s">
        <v>149</v>
      </c>
      <c r="I211" s="96">
        <v>2023</v>
      </c>
      <c r="J211" s="96">
        <v>13530</v>
      </c>
      <c r="K211" s="141">
        <v>9313409</v>
      </c>
      <c r="L211" s="229" t="s">
        <v>385</v>
      </c>
      <c r="M211" s="100" t="s">
        <v>495</v>
      </c>
      <c r="N211" s="110"/>
      <c r="O211" s="110"/>
      <c r="P211" s="110">
        <f t="shared" si="5"/>
        <v>0</v>
      </c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</row>
    <row r="212" spans="1:28" ht="36">
      <c r="A212" s="256">
        <v>40054166</v>
      </c>
      <c r="B212" s="102">
        <v>29</v>
      </c>
      <c r="C212" s="98" t="s">
        <v>27</v>
      </c>
      <c r="D212" s="96"/>
      <c r="E212" s="96" t="s">
        <v>131</v>
      </c>
      <c r="F212" s="103" t="s">
        <v>496</v>
      </c>
      <c r="G212" s="112" t="s">
        <v>89</v>
      </c>
      <c r="H212" s="96" t="s">
        <v>133</v>
      </c>
      <c r="I212" s="96">
        <v>2023</v>
      </c>
      <c r="J212" s="96">
        <v>13481</v>
      </c>
      <c r="K212" s="141">
        <v>582262</v>
      </c>
      <c r="L212" s="229" t="s">
        <v>214</v>
      </c>
      <c r="M212" s="100" t="s">
        <v>266</v>
      </c>
      <c r="N212" s="110">
        <v>1000</v>
      </c>
      <c r="O212" s="110">
        <v>10000</v>
      </c>
      <c r="P212" s="110">
        <f t="shared" si="5"/>
        <v>0</v>
      </c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</row>
    <row r="213" spans="1:28" ht="36">
      <c r="A213" s="256">
        <v>40052203</v>
      </c>
      <c r="B213" s="102">
        <v>29</v>
      </c>
      <c r="C213" s="98" t="s">
        <v>27</v>
      </c>
      <c r="D213" s="96"/>
      <c r="E213" s="96" t="s">
        <v>131</v>
      </c>
      <c r="F213" s="103" t="s">
        <v>497</v>
      </c>
      <c r="G213" s="112" t="s">
        <v>102</v>
      </c>
      <c r="H213" s="96" t="s">
        <v>143</v>
      </c>
      <c r="I213" s="96">
        <v>2023</v>
      </c>
      <c r="J213" s="96">
        <v>13481</v>
      </c>
      <c r="K213" s="141">
        <v>250468</v>
      </c>
      <c r="L213" s="229" t="s">
        <v>498</v>
      </c>
      <c r="M213" s="100" t="s">
        <v>151</v>
      </c>
      <c r="N213" s="110">
        <v>250468</v>
      </c>
      <c r="O213" s="110">
        <v>1000</v>
      </c>
      <c r="P213" s="110">
        <f t="shared" si="5"/>
        <v>0</v>
      </c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</row>
    <row r="214" spans="1:28" ht="36">
      <c r="A214" s="256">
        <v>40055994</v>
      </c>
      <c r="B214" s="102">
        <v>33</v>
      </c>
      <c r="C214" s="98" t="s">
        <v>27</v>
      </c>
      <c r="D214" s="96"/>
      <c r="E214" s="96" t="s">
        <v>131</v>
      </c>
      <c r="F214" s="103" t="s">
        <v>499</v>
      </c>
      <c r="G214" s="112" t="s">
        <v>89</v>
      </c>
      <c r="H214" s="96" t="s">
        <v>133</v>
      </c>
      <c r="I214" s="96">
        <v>2023</v>
      </c>
      <c r="J214" s="96">
        <v>13425</v>
      </c>
      <c r="K214" s="141">
        <v>110056</v>
      </c>
      <c r="L214" s="229" t="s">
        <v>167</v>
      </c>
      <c r="M214" s="100" t="s">
        <v>131</v>
      </c>
      <c r="N214" s="110"/>
      <c r="O214" s="110"/>
      <c r="P214" s="110">
        <f t="shared" si="5"/>
        <v>0</v>
      </c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</row>
    <row r="215" spans="1:28" ht="36">
      <c r="A215" s="256">
        <v>40055934</v>
      </c>
      <c r="B215" s="102">
        <v>33</v>
      </c>
      <c r="C215" s="98" t="s">
        <v>27</v>
      </c>
      <c r="D215" s="96"/>
      <c r="E215" s="96" t="s">
        <v>131</v>
      </c>
      <c r="F215" s="103" t="s">
        <v>500</v>
      </c>
      <c r="G215" s="112" t="s">
        <v>85</v>
      </c>
      <c r="H215" s="96" t="s">
        <v>133</v>
      </c>
      <c r="I215" s="96">
        <v>2023</v>
      </c>
      <c r="J215" s="96">
        <v>13425</v>
      </c>
      <c r="K215" s="141">
        <v>110019</v>
      </c>
      <c r="L215" s="229" t="s">
        <v>194</v>
      </c>
      <c r="M215" s="100" t="s">
        <v>131</v>
      </c>
      <c r="N215" s="110"/>
      <c r="O215" s="110"/>
      <c r="P215" s="110">
        <f t="shared" si="5"/>
        <v>0</v>
      </c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</row>
    <row r="216" spans="1:28" ht="36">
      <c r="A216" s="256">
        <v>40055971</v>
      </c>
      <c r="B216" s="102">
        <v>33</v>
      </c>
      <c r="C216" s="98" t="s">
        <v>27</v>
      </c>
      <c r="D216" s="96"/>
      <c r="E216" s="96" t="s">
        <v>131</v>
      </c>
      <c r="F216" s="103" t="s">
        <v>501</v>
      </c>
      <c r="G216" s="96" t="s">
        <v>84</v>
      </c>
      <c r="H216" s="96" t="s">
        <v>133</v>
      </c>
      <c r="I216" s="96">
        <v>2023</v>
      </c>
      <c r="J216" s="96">
        <v>13425</v>
      </c>
      <c r="K216" s="141">
        <v>110057</v>
      </c>
      <c r="L216" s="229" t="s">
        <v>234</v>
      </c>
      <c r="M216" s="100" t="s">
        <v>131</v>
      </c>
      <c r="N216" s="110"/>
      <c r="O216" s="110"/>
      <c r="P216" s="110">
        <f t="shared" si="5"/>
        <v>0</v>
      </c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</row>
    <row r="217" spans="1:28" ht="36">
      <c r="A217" s="256">
        <v>40056663</v>
      </c>
      <c r="B217" s="102">
        <v>33</v>
      </c>
      <c r="C217" s="98" t="s">
        <v>27</v>
      </c>
      <c r="D217" s="96"/>
      <c r="E217" s="96" t="s">
        <v>131</v>
      </c>
      <c r="F217" s="103" t="s">
        <v>502</v>
      </c>
      <c r="G217" s="112" t="s">
        <v>97</v>
      </c>
      <c r="H217" s="96" t="s">
        <v>133</v>
      </c>
      <c r="I217" s="96">
        <v>2023</v>
      </c>
      <c r="J217" s="96">
        <v>13425</v>
      </c>
      <c r="K217" s="141">
        <v>109776</v>
      </c>
      <c r="L217" s="229" t="s">
        <v>150</v>
      </c>
      <c r="M217" s="100" t="s">
        <v>131</v>
      </c>
      <c r="N217" s="110"/>
      <c r="O217" s="110"/>
      <c r="P217" s="110">
        <f t="shared" si="5"/>
        <v>0</v>
      </c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</row>
    <row r="218" spans="1:28" ht="36">
      <c r="A218" s="256">
        <v>40055995</v>
      </c>
      <c r="B218" s="102">
        <v>33</v>
      </c>
      <c r="C218" s="98" t="s">
        <v>27</v>
      </c>
      <c r="D218" s="96"/>
      <c r="E218" s="96" t="s">
        <v>131</v>
      </c>
      <c r="F218" s="103" t="s">
        <v>503</v>
      </c>
      <c r="G218" s="112" t="s">
        <v>92</v>
      </c>
      <c r="H218" s="96" t="s">
        <v>133</v>
      </c>
      <c r="I218" s="96">
        <v>2023</v>
      </c>
      <c r="J218" s="96">
        <v>13425</v>
      </c>
      <c r="K218" s="141">
        <v>110057</v>
      </c>
      <c r="L218" s="229" t="s">
        <v>161</v>
      </c>
      <c r="M218" s="100" t="s">
        <v>131</v>
      </c>
      <c r="N218" s="110"/>
      <c r="O218" s="110"/>
      <c r="P218" s="110">
        <f t="shared" si="5"/>
        <v>0</v>
      </c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</row>
    <row r="219" spans="1:28" ht="36">
      <c r="A219" s="256">
        <v>40055900</v>
      </c>
      <c r="B219" s="102">
        <v>33</v>
      </c>
      <c r="C219" s="98" t="s">
        <v>27</v>
      </c>
      <c r="D219" s="96"/>
      <c r="E219" s="96" t="s">
        <v>131</v>
      </c>
      <c r="F219" s="103" t="s">
        <v>504</v>
      </c>
      <c r="G219" s="112" t="s">
        <v>93</v>
      </c>
      <c r="H219" s="96" t="s">
        <v>133</v>
      </c>
      <c r="I219" s="96">
        <v>2023</v>
      </c>
      <c r="J219" s="96">
        <v>13425</v>
      </c>
      <c r="K219" s="141">
        <v>110057</v>
      </c>
      <c r="L219" s="229" t="s">
        <v>218</v>
      </c>
      <c r="M219" s="100" t="s">
        <v>131</v>
      </c>
      <c r="N219" s="110"/>
      <c r="O219" s="110"/>
      <c r="P219" s="110">
        <f t="shared" si="5"/>
        <v>0</v>
      </c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</row>
    <row r="220" spans="1:28" ht="36">
      <c r="A220" s="256">
        <v>40055918</v>
      </c>
      <c r="B220" s="102">
        <v>33</v>
      </c>
      <c r="C220" s="98" t="s">
        <v>27</v>
      </c>
      <c r="D220" s="96"/>
      <c r="E220" s="96" t="s">
        <v>131</v>
      </c>
      <c r="F220" s="103" t="s">
        <v>505</v>
      </c>
      <c r="G220" s="112" t="s">
        <v>99</v>
      </c>
      <c r="H220" s="96" t="s">
        <v>133</v>
      </c>
      <c r="I220" s="96">
        <v>2023</v>
      </c>
      <c r="J220" s="96">
        <v>13425</v>
      </c>
      <c r="K220" s="141">
        <v>110057</v>
      </c>
      <c r="L220" s="229" t="s">
        <v>198</v>
      </c>
      <c r="M220" s="100" t="s">
        <v>131</v>
      </c>
      <c r="N220" s="110"/>
      <c r="O220" s="110"/>
      <c r="P220" s="110">
        <f t="shared" si="5"/>
        <v>0</v>
      </c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</row>
    <row r="221" spans="1:28" ht="36">
      <c r="A221" s="256">
        <v>40055817</v>
      </c>
      <c r="B221" s="102">
        <v>33</v>
      </c>
      <c r="C221" s="98" t="s">
        <v>27</v>
      </c>
      <c r="D221" s="96"/>
      <c r="E221" s="96" t="s">
        <v>131</v>
      </c>
      <c r="F221" s="103" t="s">
        <v>506</v>
      </c>
      <c r="G221" s="112" t="s">
        <v>86</v>
      </c>
      <c r="H221" s="96" t="s">
        <v>133</v>
      </c>
      <c r="I221" s="96">
        <v>2023</v>
      </c>
      <c r="J221" s="96">
        <v>13425</v>
      </c>
      <c r="K221" s="141">
        <v>110057</v>
      </c>
      <c r="L221" s="229" t="s">
        <v>221</v>
      </c>
      <c r="M221" s="100" t="s">
        <v>131</v>
      </c>
      <c r="N221" s="110"/>
      <c r="O221" s="110"/>
      <c r="P221" s="110">
        <f t="shared" ref="P221:P282" si="6">SUM(Q221:AB221)</f>
        <v>0</v>
      </c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</row>
    <row r="222" spans="1:28" ht="36">
      <c r="A222" s="256">
        <v>40058519</v>
      </c>
      <c r="B222" s="102">
        <v>33</v>
      </c>
      <c r="C222" s="98" t="s">
        <v>27</v>
      </c>
      <c r="D222" s="96"/>
      <c r="E222" s="96" t="s">
        <v>131</v>
      </c>
      <c r="F222" s="103" t="s">
        <v>507</v>
      </c>
      <c r="G222" s="112" t="s">
        <v>81</v>
      </c>
      <c r="H222" s="96" t="s">
        <v>133</v>
      </c>
      <c r="I222" s="96">
        <v>2023</v>
      </c>
      <c r="J222" s="96">
        <v>13594</v>
      </c>
      <c r="K222" s="141">
        <v>220165</v>
      </c>
      <c r="L222" s="229" t="s">
        <v>141</v>
      </c>
      <c r="M222" s="100" t="s">
        <v>131</v>
      </c>
      <c r="N222" s="110"/>
      <c r="O222" s="110"/>
      <c r="P222" s="110">
        <f t="shared" si="6"/>
        <v>0</v>
      </c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</row>
    <row r="223" spans="1:28" ht="36">
      <c r="A223" s="256">
        <v>40058456</v>
      </c>
      <c r="B223" s="102">
        <v>33</v>
      </c>
      <c r="C223" s="98" t="s">
        <v>27</v>
      </c>
      <c r="D223" s="96"/>
      <c r="E223" s="96" t="s">
        <v>131</v>
      </c>
      <c r="F223" s="103" t="s">
        <v>508</v>
      </c>
      <c r="G223" s="112" t="s">
        <v>96</v>
      </c>
      <c r="H223" s="96" t="s">
        <v>133</v>
      </c>
      <c r="I223" s="96">
        <v>2023</v>
      </c>
      <c r="J223" s="96">
        <v>13594</v>
      </c>
      <c r="K223" s="141">
        <v>284180</v>
      </c>
      <c r="L223" s="229" t="s">
        <v>179</v>
      </c>
      <c r="M223" s="100" t="s">
        <v>131</v>
      </c>
      <c r="N223" s="110"/>
      <c r="O223" s="110"/>
      <c r="P223" s="110">
        <f t="shared" si="6"/>
        <v>0</v>
      </c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</row>
    <row r="224" spans="1:28" ht="36">
      <c r="A224" s="256">
        <v>40058528</v>
      </c>
      <c r="B224" s="102">
        <v>33</v>
      </c>
      <c r="C224" s="98" t="s">
        <v>27</v>
      </c>
      <c r="D224" s="96"/>
      <c r="E224" s="96" t="s">
        <v>131</v>
      </c>
      <c r="F224" s="103" t="s">
        <v>509</v>
      </c>
      <c r="G224" s="112" t="s">
        <v>89</v>
      </c>
      <c r="H224" s="96" t="s">
        <v>133</v>
      </c>
      <c r="I224" s="96">
        <v>2023</v>
      </c>
      <c r="J224" s="96">
        <v>13594</v>
      </c>
      <c r="K224" s="141">
        <v>307830</v>
      </c>
      <c r="L224" s="229" t="s">
        <v>167</v>
      </c>
      <c r="M224" s="100" t="s">
        <v>131</v>
      </c>
      <c r="N224" s="110"/>
      <c r="O224" s="110"/>
      <c r="P224" s="110">
        <f t="shared" si="6"/>
        <v>0</v>
      </c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</row>
    <row r="225" spans="1:28" ht="36">
      <c r="A225" s="256">
        <v>40058506</v>
      </c>
      <c r="B225" s="102">
        <v>33</v>
      </c>
      <c r="C225" s="98" t="s">
        <v>27</v>
      </c>
      <c r="D225" s="96"/>
      <c r="E225" s="96" t="s">
        <v>131</v>
      </c>
      <c r="F225" s="103" t="s">
        <v>510</v>
      </c>
      <c r="G225" s="112" t="s">
        <v>83</v>
      </c>
      <c r="H225" s="96" t="s">
        <v>133</v>
      </c>
      <c r="I225" s="96">
        <v>2023</v>
      </c>
      <c r="J225" s="96">
        <v>13594</v>
      </c>
      <c r="K225" s="141">
        <v>248157</v>
      </c>
      <c r="L225" s="229" t="s">
        <v>156</v>
      </c>
      <c r="M225" s="100" t="s">
        <v>131</v>
      </c>
      <c r="N225" s="110"/>
      <c r="O225" s="110"/>
      <c r="P225" s="110">
        <f t="shared" si="6"/>
        <v>0</v>
      </c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</row>
    <row r="226" spans="1:28" ht="36">
      <c r="A226" s="256">
        <v>40058588</v>
      </c>
      <c r="B226" s="102">
        <v>33</v>
      </c>
      <c r="C226" s="98" t="s">
        <v>27</v>
      </c>
      <c r="D226" s="96"/>
      <c r="E226" s="96" t="s">
        <v>131</v>
      </c>
      <c r="F226" s="103" t="s">
        <v>511</v>
      </c>
      <c r="G226" s="112" t="s">
        <v>98</v>
      </c>
      <c r="H226" s="96" t="s">
        <v>184</v>
      </c>
      <c r="I226" s="96">
        <v>2023</v>
      </c>
      <c r="J226" s="96">
        <v>13594</v>
      </c>
      <c r="K226" s="141">
        <v>269829</v>
      </c>
      <c r="L226" s="229" t="s">
        <v>224</v>
      </c>
      <c r="M226" s="100" t="s">
        <v>131</v>
      </c>
      <c r="N226" s="110"/>
      <c r="O226" s="110"/>
      <c r="P226" s="110">
        <f t="shared" si="6"/>
        <v>0</v>
      </c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</row>
    <row r="227" spans="1:28" ht="36">
      <c r="A227" s="256">
        <v>40058536</v>
      </c>
      <c r="B227" s="102">
        <v>33</v>
      </c>
      <c r="C227" s="98" t="s">
        <v>27</v>
      </c>
      <c r="D227" s="96"/>
      <c r="E227" s="96" t="s">
        <v>131</v>
      </c>
      <c r="F227" s="103" t="s">
        <v>512</v>
      </c>
      <c r="G227" s="96" t="s">
        <v>84</v>
      </c>
      <c r="H227" s="96" t="s">
        <v>184</v>
      </c>
      <c r="I227" s="96">
        <v>2023</v>
      </c>
      <c r="J227" s="96">
        <v>13594</v>
      </c>
      <c r="K227" s="141">
        <v>253295</v>
      </c>
      <c r="L227" s="229" t="s">
        <v>234</v>
      </c>
      <c r="M227" s="100" t="s">
        <v>131</v>
      </c>
      <c r="N227" s="110"/>
      <c r="O227" s="110"/>
      <c r="P227" s="110">
        <f t="shared" si="6"/>
        <v>0</v>
      </c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</row>
    <row r="228" spans="1:28" ht="36">
      <c r="A228" s="256">
        <v>40058477</v>
      </c>
      <c r="B228" s="102">
        <v>33</v>
      </c>
      <c r="C228" s="98" t="s">
        <v>27</v>
      </c>
      <c r="D228" s="96"/>
      <c r="E228" s="96" t="s">
        <v>131</v>
      </c>
      <c r="F228" s="103" t="s">
        <v>513</v>
      </c>
      <c r="G228" s="96" t="s">
        <v>82</v>
      </c>
      <c r="H228" s="96" t="s">
        <v>133</v>
      </c>
      <c r="I228" s="96">
        <v>2023</v>
      </c>
      <c r="J228" s="96">
        <v>13594</v>
      </c>
      <c r="K228" s="141">
        <v>242932</v>
      </c>
      <c r="L228" s="229" t="s">
        <v>147</v>
      </c>
      <c r="M228" s="100" t="s">
        <v>131</v>
      </c>
      <c r="N228" s="110"/>
      <c r="O228" s="110"/>
      <c r="P228" s="110">
        <f t="shared" si="6"/>
        <v>0</v>
      </c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</row>
    <row r="229" spans="1:28" ht="36">
      <c r="A229" s="256">
        <v>40058586</v>
      </c>
      <c r="B229" s="102">
        <v>33</v>
      </c>
      <c r="C229" s="98" t="s">
        <v>27</v>
      </c>
      <c r="D229" s="96"/>
      <c r="E229" s="96" t="s">
        <v>131</v>
      </c>
      <c r="F229" s="103" t="s">
        <v>514</v>
      </c>
      <c r="G229" s="112" t="s">
        <v>97</v>
      </c>
      <c r="H229" s="96" t="s">
        <v>133</v>
      </c>
      <c r="I229" s="96">
        <v>2023</v>
      </c>
      <c r="J229" s="96">
        <v>13594</v>
      </c>
      <c r="K229" s="141">
        <v>248195</v>
      </c>
      <c r="L229" s="229" t="s">
        <v>150</v>
      </c>
      <c r="M229" s="100" t="s">
        <v>131</v>
      </c>
      <c r="N229" s="110"/>
      <c r="O229" s="110"/>
      <c r="P229" s="110">
        <f t="shared" si="6"/>
        <v>0</v>
      </c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</row>
    <row r="230" spans="1:28" ht="36">
      <c r="A230" s="256">
        <v>40058516</v>
      </c>
      <c r="B230" s="102">
        <v>33</v>
      </c>
      <c r="C230" s="98" t="s">
        <v>27</v>
      </c>
      <c r="D230" s="96"/>
      <c r="E230" s="96" t="s">
        <v>131</v>
      </c>
      <c r="F230" s="103" t="s">
        <v>515</v>
      </c>
      <c r="G230" s="96" t="s">
        <v>91</v>
      </c>
      <c r="H230" s="96" t="s">
        <v>133</v>
      </c>
      <c r="I230" s="96">
        <v>2023</v>
      </c>
      <c r="J230" s="96">
        <v>13594</v>
      </c>
      <c r="K230" s="141">
        <v>289575</v>
      </c>
      <c r="L230" s="229" t="s">
        <v>158</v>
      </c>
      <c r="M230" s="100" t="s">
        <v>131</v>
      </c>
      <c r="N230" s="110"/>
      <c r="O230" s="110"/>
      <c r="P230" s="110">
        <f t="shared" si="6"/>
        <v>0</v>
      </c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</row>
    <row r="231" spans="1:28" ht="36">
      <c r="A231" s="256">
        <v>40058527</v>
      </c>
      <c r="B231" s="102">
        <v>33</v>
      </c>
      <c r="C231" s="98" t="s">
        <v>27</v>
      </c>
      <c r="D231" s="96"/>
      <c r="E231" s="96" t="s">
        <v>131</v>
      </c>
      <c r="F231" s="103" t="s">
        <v>516</v>
      </c>
      <c r="G231" s="112" t="s">
        <v>90</v>
      </c>
      <c r="H231" s="96" t="s">
        <v>133</v>
      </c>
      <c r="I231" s="96">
        <v>2023</v>
      </c>
      <c r="J231" s="96">
        <v>13594</v>
      </c>
      <c r="K231" s="141">
        <v>294448</v>
      </c>
      <c r="L231" s="229" t="s">
        <v>137</v>
      </c>
      <c r="M231" s="100" t="s">
        <v>131</v>
      </c>
      <c r="N231" s="110"/>
      <c r="O231" s="110"/>
      <c r="P231" s="110">
        <f t="shared" si="6"/>
        <v>0</v>
      </c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</row>
    <row r="232" spans="1:28" ht="36">
      <c r="A232" s="256">
        <v>40058570</v>
      </c>
      <c r="B232" s="102">
        <v>33</v>
      </c>
      <c r="C232" s="98" t="s">
        <v>27</v>
      </c>
      <c r="D232" s="96"/>
      <c r="E232" s="96" t="s">
        <v>131</v>
      </c>
      <c r="F232" s="103" t="s">
        <v>517</v>
      </c>
      <c r="G232" s="112" t="s">
        <v>85</v>
      </c>
      <c r="H232" s="96" t="s">
        <v>133</v>
      </c>
      <c r="I232" s="96">
        <v>2023</v>
      </c>
      <c r="J232" s="96">
        <v>13594</v>
      </c>
      <c r="K232" s="141">
        <v>247214</v>
      </c>
      <c r="L232" s="229" t="s">
        <v>194</v>
      </c>
      <c r="M232" s="100" t="s">
        <v>131</v>
      </c>
      <c r="N232" s="110"/>
      <c r="O232" s="110"/>
      <c r="P232" s="110">
        <f t="shared" si="6"/>
        <v>0</v>
      </c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</row>
    <row r="233" spans="1:28" ht="36">
      <c r="A233" s="256">
        <v>40058529</v>
      </c>
      <c r="B233" s="102">
        <v>33</v>
      </c>
      <c r="C233" s="98" t="s">
        <v>27</v>
      </c>
      <c r="D233" s="96"/>
      <c r="E233" s="96" t="s">
        <v>131</v>
      </c>
      <c r="F233" s="103" t="s">
        <v>518</v>
      </c>
      <c r="G233" s="112" t="s">
        <v>92</v>
      </c>
      <c r="H233" s="96" t="s">
        <v>184</v>
      </c>
      <c r="I233" s="96">
        <v>2023</v>
      </c>
      <c r="J233" s="96">
        <v>13594</v>
      </c>
      <c r="K233" s="141">
        <v>290000</v>
      </c>
      <c r="L233" s="229" t="s">
        <v>161</v>
      </c>
      <c r="M233" s="100" t="s">
        <v>131</v>
      </c>
      <c r="N233" s="110"/>
      <c r="O233" s="110"/>
      <c r="P233" s="110">
        <f t="shared" si="6"/>
        <v>0</v>
      </c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</row>
    <row r="234" spans="1:28" ht="36">
      <c r="A234" s="256">
        <v>40058569</v>
      </c>
      <c r="B234" s="102">
        <v>33</v>
      </c>
      <c r="C234" s="98" t="s">
        <v>27</v>
      </c>
      <c r="D234" s="96"/>
      <c r="E234" s="96" t="s">
        <v>131</v>
      </c>
      <c r="F234" s="103" t="s">
        <v>519</v>
      </c>
      <c r="G234" s="112" t="s">
        <v>93</v>
      </c>
      <c r="H234" s="96" t="s">
        <v>133</v>
      </c>
      <c r="I234" s="96">
        <v>2023</v>
      </c>
      <c r="J234" s="96">
        <v>13594</v>
      </c>
      <c r="K234" s="141">
        <v>278421</v>
      </c>
      <c r="L234" s="229" t="s">
        <v>218</v>
      </c>
      <c r="M234" s="100" t="s">
        <v>131</v>
      </c>
      <c r="N234" s="110"/>
      <c r="O234" s="110"/>
      <c r="P234" s="110">
        <f t="shared" si="6"/>
        <v>0</v>
      </c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</row>
    <row r="235" spans="1:28" ht="36">
      <c r="A235" s="256">
        <v>40058547</v>
      </c>
      <c r="B235" s="102">
        <v>33</v>
      </c>
      <c r="C235" s="98" t="s">
        <v>27</v>
      </c>
      <c r="D235" s="96"/>
      <c r="E235" s="96" t="s">
        <v>131</v>
      </c>
      <c r="F235" s="103" t="s">
        <v>520</v>
      </c>
      <c r="G235" s="112" t="s">
        <v>99</v>
      </c>
      <c r="H235" s="96" t="s">
        <v>274</v>
      </c>
      <c r="I235" s="96">
        <v>2023</v>
      </c>
      <c r="J235" s="96">
        <v>13594</v>
      </c>
      <c r="K235" s="141">
        <v>275296</v>
      </c>
      <c r="L235" s="229" t="s">
        <v>198</v>
      </c>
      <c r="M235" s="100" t="s">
        <v>131</v>
      </c>
      <c r="N235" s="110"/>
      <c r="O235" s="110"/>
      <c r="P235" s="110">
        <f t="shared" si="6"/>
        <v>0</v>
      </c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</row>
    <row r="236" spans="1:28" ht="36">
      <c r="A236" s="256">
        <v>40058526</v>
      </c>
      <c r="B236" s="102">
        <v>33</v>
      </c>
      <c r="C236" s="98" t="s">
        <v>27</v>
      </c>
      <c r="D236" s="96"/>
      <c r="E236" s="96" t="s">
        <v>131</v>
      </c>
      <c r="F236" s="103" t="s">
        <v>521</v>
      </c>
      <c r="G236" s="112" t="s">
        <v>86</v>
      </c>
      <c r="H236" s="96" t="s">
        <v>133</v>
      </c>
      <c r="I236" s="96">
        <v>2023</v>
      </c>
      <c r="J236" s="96">
        <v>13594</v>
      </c>
      <c r="K236" s="141">
        <v>249794</v>
      </c>
      <c r="L236" s="229" t="s">
        <v>221</v>
      </c>
      <c r="M236" s="100" t="s">
        <v>131</v>
      </c>
      <c r="N236" s="110"/>
      <c r="O236" s="110"/>
      <c r="P236" s="110">
        <f t="shared" si="6"/>
        <v>0</v>
      </c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</row>
    <row r="237" spans="1:28" ht="24">
      <c r="A237" s="258">
        <v>40057782</v>
      </c>
      <c r="B237" s="96">
        <v>29</v>
      </c>
      <c r="C237" s="98" t="s">
        <v>27</v>
      </c>
      <c r="D237" s="98"/>
      <c r="E237" s="96" t="s">
        <v>131</v>
      </c>
      <c r="F237" s="103" t="s">
        <v>522</v>
      </c>
      <c r="G237" s="112" t="s">
        <v>98</v>
      </c>
      <c r="H237" s="96" t="s">
        <v>133</v>
      </c>
      <c r="I237" s="96">
        <v>2023</v>
      </c>
      <c r="J237" s="96">
        <v>13611</v>
      </c>
      <c r="K237" s="141">
        <v>802710</v>
      </c>
      <c r="L237" s="229" t="s">
        <v>480</v>
      </c>
      <c r="M237" s="100" t="s">
        <v>481</v>
      </c>
      <c r="N237" s="110">
        <v>1000</v>
      </c>
      <c r="O237" s="110"/>
      <c r="P237" s="110">
        <f t="shared" si="6"/>
        <v>0</v>
      </c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</row>
    <row r="238" spans="1:28" ht="24">
      <c r="A238" s="256">
        <v>40050265</v>
      </c>
      <c r="B238" s="98" t="s">
        <v>523</v>
      </c>
      <c r="C238" s="98" t="s">
        <v>27</v>
      </c>
      <c r="D238" s="257"/>
      <c r="E238" s="96" t="s">
        <v>131</v>
      </c>
      <c r="F238" s="103" t="s">
        <v>524</v>
      </c>
      <c r="G238" s="112" t="s">
        <v>92</v>
      </c>
      <c r="H238" s="96" t="s">
        <v>203</v>
      </c>
      <c r="I238" s="96">
        <v>2023</v>
      </c>
      <c r="J238" s="96">
        <v>13066</v>
      </c>
      <c r="K238" s="141">
        <v>168603</v>
      </c>
      <c r="L238" s="229" t="s">
        <v>161</v>
      </c>
      <c r="M238" s="100" t="s">
        <v>338</v>
      </c>
      <c r="N238" s="110">
        <v>1000</v>
      </c>
      <c r="O238" s="110">
        <v>25000</v>
      </c>
      <c r="P238" s="110">
        <f t="shared" si="6"/>
        <v>0</v>
      </c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</row>
    <row r="239" spans="1:28" ht="36">
      <c r="A239" s="219">
        <v>40053339</v>
      </c>
      <c r="B239" s="96">
        <v>29</v>
      </c>
      <c r="C239" s="98" t="s">
        <v>27</v>
      </c>
      <c r="D239" s="98"/>
      <c r="E239" s="96" t="s">
        <v>131</v>
      </c>
      <c r="F239" s="103" t="s">
        <v>525</v>
      </c>
      <c r="G239" s="96" t="s">
        <v>91</v>
      </c>
      <c r="H239" s="96" t="s">
        <v>133</v>
      </c>
      <c r="I239" s="96">
        <v>2023</v>
      </c>
      <c r="J239" s="96">
        <v>13611</v>
      </c>
      <c r="K239" s="141">
        <v>798505</v>
      </c>
      <c r="L239" s="229" t="s">
        <v>480</v>
      </c>
      <c r="M239" s="100" t="s">
        <v>481</v>
      </c>
      <c r="N239" s="110">
        <v>1000</v>
      </c>
      <c r="O239" s="110"/>
      <c r="P239" s="110">
        <f t="shared" si="6"/>
        <v>0</v>
      </c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</row>
    <row r="240" spans="1:28" ht="24">
      <c r="A240" s="256">
        <v>40045425</v>
      </c>
      <c r="B240" s="102">
        <v>29</v>
      </c>
      <c r="C240" s="98" t="s">
        <v>27</v>
      </c>
      <c r="D240" s="257"/>
      <c r="E240" s="96" t="s">
        <v>131</v>
      </c>
      <c r="F240" s="103" t="s">
        <v>526</v>
      </c>
      <c r="G240" s="96" t="s">
        <v>82</v>
      </c>
      <c r="H240" s="96" t="s">
        <v>133</v>
      </c>
      <c r="I240" s="96">
        <v>2023</v>
      </c>
      <c r="J240" s="96">
        <v>13145</v>
      </c>
      <c r="K240" s="141">
        <v>326790</v>
      </c>
      <c r="L240" s="229" t="s">
        <v>480</v>
      </c>
      <c r="M240" s="100" t="s">
        <v>481</v>
      </c>
      <c r="N240" s="110">
        <v>326790</v>
      </c>
      <c r="O240" s="110">
        <v>1000</v>
      </c>
      <c r="P240" s="110">
        <f t="shared" si="6"/>
        <v>0</v>
      </c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</row>
    <row r="241" spans="1:40" ht="36">
      <c r="A241" s="220">
        <v>40056940</v>
      </c>
      <c r="B241" s="96">
        <v>29</v>
      </c>
      <c r="C241" s="98" t="s">
        <v>27</v>
      </c>
      <c r="D241" s="98"/>
      <c r="E241" s="96" t="s">
        <v>131</v>
      </c>
      <c r="F241" s="103" t="s">
        <v>527</v>
      </c>
      <c r="G241" s="112" t="s">
        <v>97</v>
      </c>
      <c r="H241" s="96" t="s">
        <v>133</v>
      </c>
      <c r="I241" s="96">
        <v>2024</v>
      </c>
      <c r="J241" s="96">
        <v>13835</v>
      </c>
      <c r="K241" s="141">
        <v>173740</v>
      </c>
      <c r="L241" s="96" t="s">
        <v>214</v>
      </c>
      <c r="M241" s="100" t="s">
        <v>266</v>
      </c>
      <c r="N241" s="110">
        <v>1000</v>
      </c>
      <c r="O241" s="110">
        <v>25000</v>
      </c>
      <c r="P241" s="110">
        <f t="shared" si="6"/>
        <v>0</v>
      </c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</row>
    <row r="242" spans="1:40" ht="36">
      <c r="A242" s="219">
        <v>40033939</v>
      </c>
      <c r="B242" s="102">
        <v>29</v>
      </c>
      <c r="C242" s="98" t="s">
        <v>38</v>
      </c>
      <c r="D242" s="257"/>
      <c r="E242" s="96" t="s">
        <v>131</v>
      </c>
      <c r="F242" s="103" t="s">
        <v>528</v>
      </c>
      <c r="G242" s="112" t="s">
        <v>83</v>
      </c>
      <c r="H242" s="96" t="s">
        <v>146</v>
      </c>
      <c r="I242" s="96">
        <v>2022</v>
      </c>
      <c r="J242" s="96">
        <v>12627</v>
      </c>
      <c r="K242" s="141">
        <v>1417677</v>
      </c>
      <c r="L242" s="96" t="s">
        <v>172</v>
      </c>
      <c r="M242" s="100" t="s">
        <v>131</v>
      </c>
      <c r="N242" s="110">
        <v>395932.14199999999</v>
      </c>
      <c r="O242" s="110">
        <v>343182</v>
      </c>
      <c r="P242" s="110">
        <f t="shared" si="6"/>
        <v>0</v>
      </c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</row>
    <row r="243" spans="1:40" ht="36">
      <c r="A243" s="256">
        <v>40047299</v>
      </c>
      <c r="B243" s="98" t="s">
        <v>523</v>
      </c>
      <c r="C243" s="98" t="s">
        <v>27</v>
      </c>
      <c r="D243" s="257"/>
      <c r="E243" s="96" t="s">
        <v>131</v>
      </c>
      <c r="F243" s="103" t="s">
        <v>529</v>
      </c>
      <c r="G243" s="112" t="s">
        <v>92</v>
      </c>
      <c r="H243" s="96" t="s">
        <v>274</v>
      </c>
      <c r="I243" s="96">
        <v>2023</v>
      </c>
      <c r="J243" s="96">
        <v>13066</v>
      </c>
      <c r="K243" s="141">
        <v>633293</v>
      </c>
      <c r="L243" s="232" t="s">
        <v>161</v>
      </c>
      <c r="M243" s="100" t="s">
        <v>338</v>
      </c>
      <c r="N243" s="110">
        <v>1000</v>
      </c>
      <c r="O243" s="110">
        <v>1000</v>
      </c>
      <c r="P243" s="110">
        <f t="shared" si="6"/>
        <v>0</v>
      </c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</row>
    <row r="244" spans="1:40" ht="36">
      <c r="A244" s="59">
        <v>40017103</v>
      </c>
      <c r="B244" s="98" t="s">
        <v>523</v>
      </c>
      <c r="C244" s="98" t="s">
        <v>27</v>
      </c>
      <c r="D244" s="257"/>
      <c r="E244" s="96" t="s">
        <v>131</v>
      </c>
      <c r="F244" s="103" t="s">
        <v>530</v>
      </c>
      <c r="G244" s="96" t="s">
        <v>86</v>
      </c>
      <c r="H244" s="96" t="s">
        <v>274</v>
      </c>
      <c r="I244" s="96">
        <v>2020</v>
      </c>
      <c r="J244" s="96">
        <v>10766</v>
      </c>
      <c r="K244" s="141">
        <v>503715.86999999994</v>
      </c>
      <c r="L244" s="232" t="s">
        <v>480</v>
      </c>
      <c r="M244" s="100" t="s">
        <v>151</v>
      </c>
      <c r="N244" s="110">
        <v>440638</v>
      </c>
      <c r="O244" s="110">
        <v>1000</v>
      </c>
      <c r="P244" s="110">
        <f t="shared" si="6"/>
        <v>0</v>
      </c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</row>
    <row r="245" spans="1:40" ht="36">
      <c r="A245" s="59">
        <v>40017103</v>
      </c>
      <c r="B245" s="98" t="s">
        <v>523</v>
      </c>
      <c r="C245" s="98" t="s">
        <v>38</v>
      </c>
      <c r="D245" s="257"/>
      <c r="E245" s="96" t="s">
        <v>131</v>
      </c>
      <c r="F245" s="103" t="s">
        <v>531</v>
      </c>
      <c r="G245" s="96" t="s">
        <v>86</v>
      </c>
      <c r="H245" s="96" t="s">
        <v>274</v>
      </c>
      <c r="I245" s="96">
        <v>2020</v>
      </c>
      <c r="J245" s="96">
        <v>10766</v>
      </c>
      <c r="K245" s="141">
        <v>503715.86999999994</v>
      </c>
      <c r="L245" s="232" t="s">
        <v>480</v>
      </c>
      <c r="M245" s="100" t="s">
        <v>151</v>
      </c>
      <c r="N245" s="110">
        <v>63078</v>
      </c>
      <c r="O245" s="110"/>
      <c r="P245" s="110">
        <f t="shared" si="6"/>
        <v>0</v>
      </c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</row>
    <row r="246" spans="1:40" ht="36">
      <c r="A246" s="256">
        <v>40010393</v>
      </c>
      <c r="B246" s="102">
        <v>29</v>
      </c>
      <c r="C246" s="98" t="s">
        <v>27</v>
      </c>
      <c r="D246" s="96"/>
      <c r="E246" s="96" t="s">
        <v>131</v>
      </c>
      <c r="F246" s="103" t="s">
        <v>532</v>
      </c>
      <c r="G246" s="96" t="s">
        <v>82</v>
      </c>
      <c r="H246" s="96" t="s">
        <v>146</v>
      </c>
      <c r="I246" s="96">
        <v>2023</v>
      </c>
      <c r="J246" s="96">
        <v>13202</v>
      </c>
      <c r="K246" s="141">
        <v>224750</v>
      </c>
      <c r="L246" s="229" t="s">
        <v>480</v>
      </c>
      <c r="M246" s="100" t="s">
        <v>170</v>
      </c>
      <c r="N246" s="110">
        <v>224750</v>
      </c>
      <c r="O246" s="110">
        <v>25000</v>
      </c>
      <c r="P246" s="110">
        <f t="shared" si="6"/>
        <v>0</v>
      </c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</row>
    <row r="247" spans="1:40" ht="24">
      <c r="A247" s="256">
        <v>40008948</v>
      </c>
      <c r="B247" s="102">
        <v>31</v>
      </c>
      <c r="C247" s="98" t="s">
        <v>30</v>
      </c>
      <c r="D247" s="257"/>
      <c r="E247" s="96" t="s">
        <v>138</v>
      </c>
      <c r="F247" s="103" t="s">
        <v>533</v>
      </c>
      <c r="G247" s="96" t="s">
        <v>82</v>
      </c>
      <c r="H247" s="96" t="s">
        <v>184</v>
      </c>
      <c r="I247" s="96">
        <v>2023</v>
      </c>
      <c r="J247" s="96">
        <v>13145</v>
      </c>
      <c r="K247" s="141">
        <v>293521</v>
      </c>
      <c r="L247" s="232" t="s">
        <v>147</v>
      </c>
      <c r="M247" s="100" t="s">
        <v>488</v>
      </c>
      <c r="N247" s="110">
        <v>45000</v>
      </c>
      <c r="O247" s="110"/>
      <c r="P247" s="110">
        <f t="shared" si="6"/>
        <v>0</v>
      </c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</row>
    <row r="248" spans="1:40">
      <c r="A248" s="219" t="s">
        <v>207</v>
      </c>
      <c r="B248" s="102">
        <v>32</v>
      </c>
      <c r="C248" s="98" t="s">
        <v>40</v>
      </c>
      <c r="D248" s="98"/>
      <c r="E248" s="96" t="s">
        <v>207</v>
      </c>
      <c r="F248" s="103" t="s">
        <v>534</v>
      </c>
      <c r="G248" s="96" t="s">
        <v>207</v>
      </c>
      <c r="H248" s="96" t="s">
        <v>207</v>
      </c>
      <c r="I248" s="96" t="s">
        <v>207</v>
      </c>
      <c r="J248" s="96" t="s">
        <v>207</v>
      </c>
      <c r="K248" s="112" t="s">
        <v>209</v>
      </c>
      <c r="L248" s="231" t="s">
        <v>207</v>
      </c>
      <c r="M248" s="100" t="s">
        <v>209</v>
      </c>
      <c r="N248" s="110"/>
      <c r="O248" s="110"/>
      <c r="P248" s="110">
        <f t="shared" si="6"/>
        <v>0</v>
      </c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</row>
    <row r="249" spans="1:40">
      <c r="A249" s="219" t="s">
        <v>207</v>
      </c>
      <c r="B249" s="96">
        <v>26</v>
      </c>
      <c r="C249" s="98" t="s">
        <v>30</v>
      </c>
      <c r="D249" s="98"/>
      <c r="E249" s="102" t="s">
        <v>207</v>
      </c>
      <c r="F249" s="103" t="s">
        <v>535</v>
      </c>
      <c r="G249" s="96" t="s">
        <v>102</v>
      </c>
      <c r="H249" s="96" t="s">
        <v>207</v>
      </c>
      <c r="I249" s="96">
        <v>2024</v>
      </c>
      <c r="J249" s="102" t="s">
        <v>207</v>
      </c>
      <c r="K249" s="112" t="s">
        <v>209</v>
      </c>
      <c r="L249" s="231" t="s">
        <v>207</v>
      </c>
      <c r="M249" s="100" t="s">
        <v>209</v>
      </c>
      <c r="N249" s="110"/>
      <c r="O249" s="110">
        <v>1209996</v>
      </c>
      <c r="P249" s="110">
        <f t="shared" si="6"/>
        <v>1181386.5900000001</v>
      </c>
      <c r="Q249" s="110"/>
      <c r="R249" s="110"/>
      <c r="S249" s="110"/>
      <c r="T249" s="110"/>
      <c r="U249" s="110">
        <v>9996</v>
      </c>
      <c r="V249" s="110">
        <v>63743.588000000003</v>
      </c>
      <c r="W249" s="110">
        <v>1107647.0020000001</v>
      </c>
      <c r="X249" s="110"/>
      <c r="Y249" s="110"/>
      <c r="Z249" s="110"/>
      <c r="AA249" s="110"/>
      <c r="AB249" s="110"/>
    </row>
    <row r="250" spans="1:40" ht="36">
      <c r="A250" s="219">
        <v>40002044</v>
      </c>
      <c r="B250" s="102">
        <v>31</v>
      </c>
      <c r="C250" s="98" t="s">
        <v>30</v>
      </c>
      <c r="D250" s="96"/>
      <c r="E250" s="96" t="s">
        <v>131</v>
      </c>
      <c r="F250" s="103" t="s">
        <v>536</v>
      </c>
      <c r="G250" s="96" t="s">
        <v>82</v>
      </c>
      <c r="H250" s="96" t="s">
        <v>160</v>
      </c>
      <c r="I250" s="96">
        <v>2022</v>
      </c>
      <c r="J250" s="96">
        <v>11932</v>
      </c>
      <c r="K250" s="137">
        <v>354708</v>
      </c>
      <c r="L250" s="232" t="s">
        <v>147</v>
      </c>
      <c r="M250" s="100" t="s">
        <v>537</v>
      </c>
      <c r="N250" s="110">
        <v>390249</v>
      </c>
      <c r="O250" s="110"/>
      <c r="P250" s="110">
        <f t="shared" si="6"/>
        <v>0</v>
      </c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</row>
    <row r="251" spans="1:40" ht="36">
      <c r="A251" s="219">
        <v>40002619</v>
      </c>
      <c r="B251" s="102">
        <v>31</v>
      </c>
      <c r="C251" s="98" t="s">
        <v>30</v>
      </c>
      <c r="D251" s="96"/>
      <c r="E251" s="96" t="s">
        <v>131</v>
      </c>
      <c r="F251" s="103" t="s">
        <v>538</v>
      </c>
      <c r="G251" s="96" t="s">
        <v>82</v>
      </c>
      <c r="H251" s="96" t="s">
        <v>160</v>
      </c>
      <c r="I251" s="96">
        <v>2022</v>
      </c>
      <c r="J251" s="96">
        <v>11932</v>
      </c>
      <c r="K251" s="137">
        <v>239786</v>
      </c>
      <c r="L251" s="232" t="s">
        <v>147</v>
      </c>
      <c r="M251" s="100" t="s">
        <v>222</v>
      </c>
      <c r="N251" s="110"/>
      <c r="O251" s="110"/>
      <c r="P251" s="110">
        <f t="shared" si="6"/>
        <v>0</v>
      </c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</row>
    <row r="252" spans="1:40" ht="24">
      <c r="A252" s="256">
        <v>40052793</v>
      </c>
      <c r="B252" s="102">
        <v>31</v>
      </c>
      <c r="C252" s="98" t="s">
        <v>30</v>
      </c>
      <c r="D252" s="96"/>
      <c r="E252" s="96" t="s">
        <v>131</v>
      </c>
      <c r="F252" s="103" t="s">
        <v>539</v>
      </c>
      <c r="G252" s="112" t="s">
        <v>81</v>
      </c>
      <c r="H252" s="262" t="s">
        <v>211</v>
      </c>
      <c r="I252" s="96">
        <v>2023</v>
      </c>
      <c r="J252" s="96">
        <v>13221</v>
      </c>
      <c r="K252" s="141">
        <v>167178</v>
      </c>
      <c r="L252" s="232" t="s">
        <v>141</v>
      </c>
      <c r="M252" s="100" t="s">
        <v>151</v>
      </c>
      <c r="N252" s="110">
        <v>173026</v>
      </c>
      <c r="O252" s="110">
        <v>180060</v>
      </c>
      <c r="P252" s="110">
        <f t="shared" si="6"/>
        <v>0</v>
      </c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</row>
    <row r="253" spans="1:40" ht="24">
      <c r="A253" s="256">
        <v>40052020</v>
      </c>
      <c r="B253" s="102">
        <v>31</v>
      </c>
      <c r="C253" s="98" t="s">
        <v>30</v>
      </c>
      <c r="D253" s="96"/>
      <c r="E253" s="96" t="s">
        <v>131</v>
      </c>
      <c r="F253" s="103" t="s">
        <v>540</v>
      </c>
      <c r="G253" s="112" t="s">
        <v>96</v>
      </c>
      <c r="H253" s="262" t="s">
        <v>211</v>
      </c>
      <c r="I253" s="96">
        <v>2023</v>
      </c>
      <c r="J253" s="96">
        <v>13221</v>
      </c>
      <c r="K253" s="141">
        <v>127156</v>
      </c>
      <c r="L253" s="232" t="s">
        <v>179</v>
      </c>
      <c r="M253" s="100" t="s">
        <v>545</v>
      </c>
      <c r="N253" s="110">
        <v>42948</v>
      </c>
      <c r="O253" s="110">
        <v>41689</v>
      </c>
      <c r="P253" s="110">
        <f t="shared" si="6"/>
        <v>35785.194000000003</v>
      </c>
      <c r="Q253" s="110"/>
      <c r="R253" s="110"/>
      <c r="S253" s="110"/>
      <c r="T253" s="110">
        <v>35785.194000000003</v>
      </c>
      <c r="U253" s="110"/>
      <c r="V253" s="110"/>
      <c r="W253" s="110"/>
      <c r="X253" s="110"/>
      <c r="Y253" s="110"/>
      <c r="Z253" s="110"/>
      <c r="AA253" s="110"/>
      <c r="AB253" s="110"/>
      <c r="AC253" s="201"/>
      <c r="AD253" s="201"/>
      <c r="AE253" s="201"/>
      <c r="AF253" s="201"/>
      <c r="AG253" s="201"/>
      <c r="AH253" s="201"/>
      <c r="AI253" s="201"/>
      <c r="AJ253" s="201"/>
      <c r="AK253" s="201"/>
      <c r="AL253" s="201"/>
      <c r="AM253" s="201"/>
      <c r="AN253" s="201"/>
    </row>
    <row r="254" spans="1:40" ht="24">
      <c r="A254" s="256">
        <v>40051481</v>
      </c>
      <c r="B254" s="102">
        <v>31</v>
      </c>
      <c r="C254" s="98" t="s">
        <v>30</v>
      </c>
      <c r="D254" s="96"/>
      <c r="E254" s="96" t="s">
        <v>131</v>
      </c>
      <c r="F254" s="103" t="s">
        <v>541</v>
      </c>
      <c r="G254" s="112" t="s">
        <v>89</v>
      </c>
      <c r="H254" s="262" t="s">
        <v>211</v>
      </c>
      <c r="I254" s="96">
        <v>2023</v>
      </c>
      <c r="J254" s="96">
        <v>13221</v>
      </c>
      <c r="K254" s="141">
        <v>203303</v>
      </c>
      <c r="L254" s="232" t="s">
        <v>167</v>
      </c>
      <c r="M254" s="100" t="s">
        <v>131</v>
      </c>
      <c r="N254" s="110">
        <v>72173</v>
      </c>
      <c r="O254" s="110">
        <v>79628</v>
      </c>
      <c r="P254" s="110">
        <f t="shared" si="6"/>
        <v>53324.226999999999</v>
      </c>
      <c r="Q254" s="110"/>
      <c r="R254" s="110"/>
      <c r="S254" s="110"/>
      <c r="T254" s="110">
        <v>53324.226999999999</v>
      </c>
      <c r="U254" s="110"/>
      <c r="V254" s="110"/>
      <c r="W254" s="110"/>
      <c r="X254" s="110"/>
      <c r="Y254" s="110"/>
      <c r="Z254" s="110"/>
      <c r="AA254" s="110"/>
      <c r="AB254" s="110"/>
    </row>
    <row r="255" spans="1:40" ht="24">
      <c r="A255" s="256">
        <v>40052894</v>
      </c>
      <c r="B255" s="102">
        <v>31</v>
      </c>
      <c r="C255" s="98" t="s">
        <v>30</v>
      </c>
      <c r="D255" s="96"/>
      <c r="E255" s="96" t="s">
        <v>131</v>
      </c>
      <c r="F255" s="103" t="s">
        <v>542</v>
      </c>
      <c r="G255" s="112" t="s">
        <v>83</v>
      </c>
      <c r="H255" s="262" t="s">
        <v>211</v>
      </c>
      <c r="I255" s="96">
        <v>2023</v>
      </c>
      <c r="J255" s="96">
        <v>13221</v>
      </c>
      <c r="K255" s="141">
        <v>310486</v>
      </c>
      <c r="L255" s="232" t="s">
        <v>156</v>
      </c>
      <c r="M255" s="100" t="s">
        <v>545</v>
      </c>
      <c r="N255" s="110">
        <v>104103</v>
      </c>
      <c r="O255" s="110">
        <v>91737</v>
      </c>
      <c r="P255" s="110">
        <f t="shared" si="6"/>
        <v>72883.68299999999</v>
      </c>
      <c r="Q255" s="110"/>
      <c r="R255" s="110"/>
      <c r="S255" s="110">
        <v>32251.955999999998</v>
      </c>
      <c r="T255" s="110"/>
      <c r="U255" s="110"/>
      <c r="V255" s="110">
        <v>40631.726999999999</v>
      </c>
      <c r="W255" s="110"/>
      <c r="X255" s="110"/>
      <c r="Y255" s="110"/>
      <c r="Z255" s="110"/>
      <c r="AA255" s="110"/>
      <c r="AB255" s="110"/>
    </row>
    <row r="256" spans="1:40" ht="36">
      <c r="A256" s="256">
        <v>40053721</v>
      </c>
      <c r="B256" s="102">
        <v>31</v>
      </c>
      <c r="C256" s="98" t="s">
        <v>30</v>
      </c>
      <c r="D256" s="96"/>
      <c r="E256" s="96" t="s">
        <v>131</v>
      </c>
      <c r="F256" s="103" t="s">
        <v>543</v>
      </c>
      <c r="G256" s="112" t="s">
        <v>98</v>
      </c>
      <c r="H256" s="96" t="s">
        <v>140</v>
      </c>
      <c r="I256" s="96">
        <v>2023</v>
      </c>
      <c r="J256" s="96">
        <v>13221</v>
      </c>
      <c r="K256" s="141">
        <v>216820</v>
      </c>
      <c r="L256" s="232" t="s">
        <v>224</v>
      </c>
      <c r="M256" s="100" t="s">
        <v>545</v>
      </c>
      <c r="N256" s="110">
        <v>22323</v>
      </c>
      <c r="O256" s="110">
        <v>114926</v>
      </c>
      <c r="P256" s="110">
        <f t="shared" si="6"/>
        <v>0</v>
      </c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</row>
    <row r="257" spans="1:28" ht="24">
      <c r="A257" s="256">
        <v>40053333</v>
      </c>
      <c r="B257" s="102">
        <v>31</v>
      </c>
      <c r="C257" s="98" t="s">
        <v>30</v>
      </c>
      <c r="D257" s="96"/>
      <c r="E257" s="96" t="s">
        <v>131</v>
      </c>
      <c r="F257" s="103" t="s">
        <v>544</v>
      </c>
      <c r="G257" s="96" t="s">
        <v>84</v>
      </c>
      <c r="H257" s="96" t="s">
        <v>133</v>
      </c>
      <c r="I257" s="96">
        <v>2023</v>
      </c>
      <c r="J257" s="96">
        <v>13221</v>
      </c>
      <c r="K257" s="141">
        <v>11708</v>
      </c>
      <c r="L257" s="232" t="s">
        <v>234</v>
      </c>
      <c r="M257" s="100" t="s">
        <v>545</v>
      </c>
      <c r="N257" s="110"/>
      <c r="O257" s="110"/>
      <c r="P257" s="110">
        <f t="shared" si="6"/>
        <v>0</v>
      </c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</row>
    <row r="258" spans="1:28" ht="24">
      <c r="A258" s="256">
        <v>40052849</v>
      </c>
      <c r="B258" s="102">
        <v>31</v>
      </c>
      <c r="C258" s="98" t="s">
        <v>30</v>
      </c>
      <c r="D258" s="96"/>
      <c r="E258" s="96" t="s">
        <v>131</v>
      </c>
      <c r="F258" s="103" t="s">
        <v>546</v>
      </c>
      <c r="G258" s="96" t="s">
        <v>82</v>
      </c>
      <c r="H258" s="262" t="s">
        <v>211</v>
      </c>
      <c r="I258" s="96">
        <v>2023</v>
      </c>
      <c r="J258" s="96">
        <v>13221</v>
      </c>
      <c r="K258" s="141">
        <v>214312</v>
      </c>
      <c r="L258" s="232" t="s">
        <v>147</v>
      </c>
      <c r="M258" s="100" t="s">
        <v>151</v>
      </c>
      <c r="N258" s="110">
        <v>221810</v>
      </c>
      <c r="O258" s="110">
        <v>230892</v>
      </c>
      <c r="P258" s="110">
        <f t="shared" si="6"/>
        <v>0</v>
      </c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</row>
    <row r="259" spans="1:28" ht="24">
      <c r="A259" s="256">
        <v>40052988</v>
      </c>
      <c r="B259" s="102">
        <v>31</v>
      </c>
      <c r="C259" s="98" t="s">
        <v>30</v>
      </c>
      <c r="D259" s="96"/>
      <c r="E259" s="96" t="s">
        <v>131</v>
      </c>
      <c r="F259" s="103" t="s">
        <v>547</v>
      </c>
      <c r="G259" s="112" t="s">
        <v>97</v>
      </c>
      <c r="H259" s="96" t="s">
        <v>133</v>
      </c>
      <c r="I259" s="96">
        <v>2023</v>
      </c>
      <c r="J259" s="96">
        <v>13221</v>
      </c>
      <c r="K259" s="141">
        <v>217124</v>
      </c>
      <c r="L259" s="232" t="s">
        <v>150</v>
      </c>
      <c r="M259" s="100" t="s">
        <v>545</v>
      </c>
      <c r="N259" s="110">
        <v>81427</v>
      </c>
      <c r="O259" s="110">
        <v>117274</v>
      </c>
      <c r="P259" s="110">
        <f t="shared" si="6"/>
        <v>111937.65700000001</v>
      </c>
      <c r="Q259" s="110"/>
      <c r="R259" s="110"/>
      <c r="S259" s="110"/>
      <c r="T259" s="110"/>
      <c r="U259" s="110"/>
      <c r="V259" s="110">
        <v>52453.59</v>
      </c>
      <c r="W259" s="110">
        <v>59484.067000000003</v>
      </c>
      <c r="X259" s="110"/>
      <c r="Y259" s="110"/>
      <c r="Z259" s="110"/>
      <c r="AA259" s="110"/>
      <c r="AB259" s="110"/>
    </row>
    <row r="260" spans="1:28" ht="24">
      <c r="A260" s="256">
        <v>40052563</v>
      </c>
      <c r="B260" s="102">
        <v>31</v>
      </c>
      <c r="C260" s="98" t="s">
        <v>30</v>
      </c>
      <c r="D260" s="96"/>
      <c r="E260" s="96" t="s">
        <v>131</v>
      </c>
      <c r="F260" s="103" t="s">
        <v>548</v>
      </c>
      <c r="G260" s="96" t="s">
        <v>91</v>
      </c>
      <c r="H260" s="262" t="s">
        <v>211</v>
      </c>
      <c r="I260" s="96">
        <v>2023</v>
      </c>
      <c r="J260" s="96">
        <v>13221</v>
      </c>
      <c r="K260" s="141">
        <v>229249</v>
      </c>
      <c r="L260" s="232" t="s">
        <v>158</v>
      </c>
      <c r="M260" s="100" t="s">
        <v>170</v>
      </c>
      <c r="N260" s="110">
        <v>237270</v>
      </c>
      <c r="O260" s="110">
        <v>247002</v>
      </c>
      <c r="P260" s="110">
        <f t="shared" si="6"/>
        <v>0</v>
      </c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</row>
    <row r="261" spans="1:28" ht="24">
      <c r="A261" s="256">
        <v>40052639</v>
      </c>
      <c r="B261" s="102">
        <v>31</v>
      </c>
      <c r="C261" s="98" t="s">
        <v>30</v>
      </c>
      <c r="D261" s="96"/>
      <c r="E261" s="96" t="s">
        <v>131</v>
      </c>
      <c r="F261" s="103" t="s">
        <v>549</v>
      </c>
      <c r="G261" s="112" t="s">
        <v>90</v>
      </c>
      <c r="H261" s="262" t="s">
        <v>211</v>
      </c>
      <c r="I261" s="96">
        <v>2023</v>
      </c>
      <c r="J261" s="96">
        <v>13221</v>
      </c>
      <c r="K261" s="141">
        <v>207087</v>
      </c>
      <c r="L261" s="232" t="s">
        <v>137</v>
      </c>
      <c r="M261" s="100" t="s">
        <v>545</v>
      </c>
      <c r="N261" s="110">
        <v>207087</v>
      </c>
      <c r="O261" s="110">
        <v>135979</v>
      </c>
      <c r="P261" s="110">
        <f t="shared" si="6"/>
        <v>135678.39600000001</v>
      </c>
      <c r="Q261" s="110"/>
      <c r="R261" s="110"/>
      <c r="S261" s="110">
        <v>87206.732000000004</v>
      </c>
      <c r="T261" s="110">
        <v>48471.663999999997</v>
      </c>
      <c r="U261" s="110"/>
      <c r="V261" s="110"/>
      <c r="W261" s="110"/>
      <c r="X261" s="110"/>
      <c r="Y261" s="110"/>
      <c r="Z261" s="110"/>
      <c r="AA261" s="110"/>
      <c r="AB261" s="110"/>
    </row>
    <row r="262" spans="1:28" ht="36">
      <c r="A262" s="256">
        <v>40052819</v>
      </c>
      <c r="B262" s="102">
        <v>31</v>
      </c>
      <c r="C262" s="98" t="s">
        <v>30</v>
      </c>
      <c r="D262" s="96"/>
      <c r="E262" s="96" t="s">
        <v>131</v>
      </c>
      <c r="F262" s="103" t="s">
        <v>550</v>
      </c>
      <c r="G262" s="112" t="s">
        <v>85</v>
      </c>
      <c r="H262" s="96" t="s">
        <v>140</v>
      </c>
      <c r="I262" s="96">
        <v>2023</v>
      </c>
      <c r="J262" s="96">
        <v>13221</v>
      </c>
      <c r="K262" s="141">
        <v>129105</v>
      </c>
      <c r="L262" s="232" t="s">
        <v>194</v>
      </c>
      <c r="M262" s="100" t="s">
        <v>545</v>
      </c>
      <c r="N262" s="110">
        <v>133623</v>
      </c>
      <c r="O262" s="110">
        <v>133623</v>
      </c>
      <c r="P262" s="110">
        <f t="shared" si="6"/>
        <v>133623</v>
      </c>
      <c r="Q262" s="110"/>
      <c r="R262" s="110"/>
      <c r="S262" s="110"/>
      <c r="T262" s="110"/>
      <c r="U262" s="110"/>
      <c r="V262" s="110">
        <v>133623</v>
      </c>
      <c r="W262" s="110"/>
      <c r="X262" s="110"/>
      <c r="Y262" s="110"/>
      <c r="Z262" s="110"/>
      <c r="AA262" s="110"/>
      <c r="AB262" s="110"/>
    </row>
    <row r="263" spans="1:28" ht="24">
      <c r="A263" s="256">
        <v>40052739</v>
      </c>
      <c r="B263" s="102">
        <v>31</v>
      </c>
      <c r="C263" s="98" t="s">
        <v>30</v>
      </c>
      <c r="D263" s="96"/>
      <c r="E263" s="96" t="s">
        <v>131</v>
      </c>
      <c r="F263" s="103" t="s">
        <v>551</v>
      </c>
      <c r="G263" s="112" t="s">
        <v>92</v>
      </c>
      <c r="H263" s="262" t="s">
        <v>211</v>
      </c>
      <c r="I263" s="96">
        <v>2023</v>
      </c>
      <c r="J263" s="96">
        <v>13221</v>
      </c>
      <c r="K263" s="141">
        <v>120327</v>
      </c>
      <c r="L263" s="232" t="s">
        <v>161</v>
      </c>
      <c r="M263" s="100" t="s">
        <v>545</v>
      </c>
      <c r="N263" s="110">
        <v>77366.743000000002</v>
      </c>
      <c r="O263" s="110">
        <v>77903</v>
      </c>
      <c r="P263" s="110">
        <f t="shared" si="6"/>
        <v>63512.743000000002</v>
      </c>
      <c r="Q263" s="110"/>
      <c r="R263" s="110"/>
      <c r="S263" s="110">
        <v>53554.123</v>
      </c>
      <c r="T263" s="110"/>
      <c r="U263" s="110">
        <v>9958.6200000000008</v>
      </c>
      <c r="V263" s="110"/>
      <c r="W263" s="110"/>
      <c r="X263" s="110"/>
      <c r="Y263" s="110"/>
      <c r="Z263" s="110"/>
      <c r="AA263" s="110"/>
      <c r="AB263" s="110"/>
    </row>
    <row r="264" spans="1:28" ht="36">
      <c r="A264" s="256">
        <v>40052651</v>
      </c>
      <c r="B264" s="102">
        <v>31</v>
      </c>
      <c r="C264" s="98" t="s">
        <v>30</v>
      </c>
      <c r="D264" s="96"/>
      <c r="E264" s="96" t="s">
        <v>131</v>
      </c>
      <c r="F264" s="103" t="s">
        <v>552</v>
      </c>
      <c r="G264" s="112" t="s">
        <v>99</v>
      </c>
      <c r="H264" s="96" t="s">
        <v>140</v>
      </c>
      <c r="I264" s="96">
        <v>2023</v>
      </c>
      <c r="J264" s="96">
        <v>13221</v>
      </c>
      <c r="K264" s="141">
        <v>212261</v>
      </c>
      <c r="L264" s="232" t="s">
        <v>198</v>
      </c>
      <c r="M264" s="100" t="s">
        <v>131</v>
      </c>
      <c r="N264" s="110">
        <v>33734</v>
      </c>
      <c r="O264" s="110">
        <v>85751</v>
      </c>
      <c r="P264" s="110">
        <f t="shared" si="6"/>
        <v>65204.648000000001</v>
      </c>
      <c r="Q264" s="110"/>
      <c r="R264" s="110"/>
      <c r="S264" s="110"/>
      <c r="T264" s="110"/>
      <c r="U264" s="110">
        <v>65204.648000000001</v>
      </c>
      <c r="V264" s="110"/>
      <c r="W264" s="110"/>
      <c r="X264" s="110"/>
      <c r="Y264" s="110"/>
      <c r="Z264" s="110"/>
      <c r="AA264" s="110"/>
      <c r="AB264" s="110"/>
    </row>
    <row r="265" spans="1:28" ht="24">
      <c r="A265" s="256">
        <v>40052754</v>
      </c>
      <c r="B265" s="102">
        <v>31</v>
      </c>
      <c r="C265" s="98" t="s">
        <v>30</v>
      </c>
      <c r="D265" s="96"/>
      <c r="E265" s="103" t="s">
        <v>131</v>
      </c>
      <c r="F265" s="103" t="s">
        <v>553</v>
      </c>
      <c r="G265" s="256" t="s">
        <v>86</v>
      </c>
      <c r="H265" s="102" t="s">
        <v>133</v>
      </c>
      <c r="I265" s="96">
        <v>2023</v>
      </c>
      <c r="J265" s="96">
        <v>13221</v>
      </c>
      <c r="K265" s="103">
        <v>122945</v>
      </c>
      <c r="L265" s="112" t="s">
        <v>221</v>
      </c>
      <c r="M265" s="100" t="s">
        <v>545</v>
      </c>
      <c r="N265" s="146">
        <v>12827</v>
      </c>
      <c r="O265" s="146"/>
      <c r="P265" s="110">
        <f t="shared" si="6"/>
        <v>0</v>
      </c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</row>
    <row r="266" spans="1:28" ht="36">
      <c r="A266" s="102">
        <v>40009344</v>
      </c>
      <c r="B266" s="102">
        <v>31</v>
      </c>
      <c r="C266" s="98" t="s">
        <v>30</v>
      </c>
      <c r="D266" s="96"/>
      <c r="E266" s="96" t="s">
        <v>131</v>
      </c>
      <c r="F266" s="103" t="s">
        <v>554</v>
      </c>
      <c r="G266" s="96" t="s">
        <v>89</v>
      </c>
      <c r="H266" s="96" t="s">
        <v>133</v>
      </c>
      <c r="I266" s="96">
        <v>2019</v>
      </c>
      <c r="J266" s="96">
        <v>9830</v>
      </c>
      <c r="K266" s="137">
        <v>656138</v>
      </c>
      <c r="L266" s="96" t="s">
        <v>167</v>
      </c>
      <c r="M266" s="100" t="s">
        <v>266</v>
      </c>
      <c r="N266" s="146">
        <v>220000</v>
      </c>
      <c r="O266" s="146"/>
      <c r="P266" s="110">
        <f t="shared" si="6"/>
        <v>0</v>
      </c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</row>
    <row r="267" spans="1:28" ht="24">
      <c r="A267" s="102">
        <v>40015369</v>
      </c>
      <c r="B267" s="102">
        <v>31</v>
      </c>
      <c r="C267" s="98" t="s">
        <v>30</v>
      </c>
      <c r="D267" s="96"/>
      <c r="E267" s="96" t="s">
        <v>131</v>
      </c>
      <c r="F267" s="103" t="s">
        <v>555</v>
      </c>
      <c r="G267" s="96" t="s">
        <v>82</v>
      </c>
      <c r="H267" s="96" t="s">
        <v>133</v>
      </c>
      <c r="I267" s="96">
        <v>2020</v>
      </c>
      <c r="J267" s="96">
        <v>10766</v>
      </c>
      <c r="K267" s="137">
        <v>6786017</v>
      </c>
      <c r="L267" s="96" t="s">
        <v>487</v>
      </c>
      <c r="M267" s="100" t="s">
        <v>131</v>
      </c>
      <c r="N267" s="110">
        <v>2200000</v>
      </c>
      <c r="O267" s="110">
        <v>2000000</v>
      </c>
      <c r="P267" s="110">
        <f t="shared" si="6"/>
        <v>0</v>
      </c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</row>
    <row r="268" spans="1:28" ht="24">
      <c r="A268" s="259">
        <v>40023780</v>
      </c>
      <c r="B268" s="96">
        <v>31</v>
      </c>
      <c r="C268" s="98" t="s">
        <v>30</v>
      </c>
      <c r="D268" s="228"/>
      <c r="E268" s="96" t="s">
        <v>131</v>
      </c>
      <c r="F268" s="103" t="s">
        <v>556</v>
      </c>
      <c r="G268" s="112" t="s">
        <v>89</v>
      </c>
      <c r="H268" s="235" t="s">
        <v>146</v>
      </c>
      <c r="I268" s="96">
        <v>2024</v>
      </c>
      <c r="J268" s="96">
        <v>13835</v>
      </c>
      <c r="K268" s="141">
        <v>936271</v>
      </c>
      <c r="L268" s="96" t="s">
        <v>167</v>
      </c>
      <c r="M268" s="100" t="s">
        <v>151</v>
      </c>
      <c r="N268" s="227">
        <v>93000</v>
      </c>
      <c r="O268" s="110">
        <v>69186</v>
      </c>
      <c r="P268" s="110">
        <f t="shared" si="6"/>
        <v>0</v>
      </c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</row>
    <row r="269" spans="1:28" ht="36">
      <c r="A269" s="102">
        <v>30064704</v>
      </c>
      <c r="B269" s="96">
        <v>31</v>
      </c>
      <c r="C269" s="98" t="s">
        <v>30</v>
      </c>
      <c r="D269" s="96"/>
      <c r="E269" s="114" t="s">
        <v>131</v>
      </c>
      <c r="F269" s="113" t="s">
        <v>557</v>
      </c>
      <c r="G269" s="96" t="s">
        <v>93</v>
      </c>
      <c r="H269" s="96" t="s">
        <v>160</v>
      </c>
      <c r="I269" s="96">
        <v>2011</v>
      </c>
      <c r="J269" s="114">
        <v>4968</v>
      </c>
      <c r="K269" s="138">
        <v>778545</v>
      </c>
      <c r="L269" s="264" t="s">
        <v>218</v>
      </c>
      <c r="M269" s="100" t="s">
        <v>241</v>
      </c>
      <c r="N269" s="146">
        <v>76000</v>
      </c>
      <c r="O269" s="146"/>
      <c r="P269" s="110">
        <f t="shared" si="6"/>
        <v>0</v>
      </c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</row>
    <row r="270" spans="1:28" ht="36">
      <c r="A270" s="259">
        <v>40040663</v>
      </c>
      <c r="B270" s="96">
        <v>31</v>
      </c>
      <c r="C270" s="98" t="s">
        <v>30</v>
      </c>
      <c r="D270" s="226"/>
      <c r="E270" s="96" t="s">
        <v>138</v>
      </c>
      <c r="F270" s="103" t="s">
        <v>558</v>
      </c>
      <c r="G270" s="112" t="s">
        <v>82</v>
      </c>
      <c r="H270" s="235" t="s">
        <v>146</v>
      </c>
      <c r="I270" s="96">
        <v>2024</v>
      </c>
      <c r="J270" s="96">
        <v>13837</v>
      </c>
      <c r="K270" s="141">
        <v>318168</v>
      </c>
      <c r="L270" s="96" t="s">
        <v>134</v>
      </c>
      <c r="M270" s="100" t="s">
        <v>266</v>
      </c>
      <c r="N270" s="110">
        <v>318168</v>
      </c>
      <c r="O270" s="110">
        <v>47221</v>
      </c>
      <c r="P270" s="110">
        <f t="shared" si="6"/>
        <v>0</v>
      </c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</row>
    <row r="271" spans="1:28" ht="24">
      <c r="A271" s="102">
        <v>30426830</v>
      </c>
      <c r="B271" s="102">
        <v>31</v>
      </c>
      <c r="C271" s="98" t="s">
        <v>30</v>
      </c>
      <c r="D271" s="257"/>
      <c r="E271" s="96" t="s">
        <v>131</v>
      </c>
      <c r="F271" s="103" t="s">
        <v>559</v>
      </c>
      <c r="G271" s="112" t="s">
        <v>96</v>
      </c>
      <c r="H271" s="112" t="s">
        <v>308</v>
      </c>
      <c r="I271" s="96">
        <v>2023</v>
      </c>
      <c r="J271" s="96">
        <v>12956</v>
      </c>
      <c r="K271" s="141">
        <v>1013180</v>
      </c>
      <c r="L271" s="262" t="s">
        <v>560</v>
      </c>
      <c r="M271" s="100" t="s">
        <v>131</v>
      </c>
      <c r="N271" s="110"/>
      <c r="O271" s="110"/>
      <c r="P271" s="110">
        <f t="shared" si="6"/>
        <v>0</v>
      </c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</row>
    <row r="272" spans="1:28" ht="36">
      <c r="A272" s="102">
        <v>40005301</v>
      </c>
      <c r="B272" s="102">
        <v>31</v>
      </c>
      <c r="C272" s="98" t="s">
        <v>30</v>
      </c>
      <c r="D272" s="257"/>
      <c r="E272" s="96" t="s">
        <v>131</v>
      </c>
      <c r="F272" s="113" t="s">
        <v>561</v>
      </c>
      <c r="G272" s="250" t="s">
        <v>81</v>
      </c>
      <c r="H272" s="96" t="s">
        <v>160</v>
      </c>
      <c r="I272" s="114">
        <v>2023</v>
      </c>
      <c r="J272" s="114">
        <v>12956</v>
      </c>
      <c r="K272" s="223">
        <v>123462</v>
      </c>
      <c r="L272" s="262" t="s">
        <v>141</v>
      </c>
      <c r="M272" s="100" t="s">
        <v>222</v>
      </c>
      <c r="N272" s="146">
        <v>120000</v>
      </c>
      <c r="O272" s="146"/>
      <c r="P272" s="110">
        <f t="shared" si="6"/>
        <v>0</v>
      </c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</row>
    <row r="273" spans="1:28" ht="24">
      <c r="A273" s="102">
        <v>40016396</v>
      </c>
      <c r="B273" s="102">
        <v>31</v>
      </c>
      <c r="C273" s="98" t="s">
        <v>30</v>
      </c>
      <c r="D273" s="98"/>
      <c r="E273" s="96" t="s">
        <v>131</v>
      </c>
      <c r="F273" s="113" t="s">
        <v>562</v>
      </c>
      <c r="G273" s="114" t="s">
        <v>91</v>
      </c>
      <c r="H273" s="6" t="s">
        <v>350</v>
      </c>
      <c r="I273" s="114">
        <v>2020</v>
      </c>
      <c r="J273" s="224">
        <v>10497</v>
      </c>
      <c r="K273" s="138">
        <v>99733</v>
      </c>
      <c r="L273" s="264" t="s">
        <v>158</v>
      </c>
      <c r="M273" s="100" t="s">
        <v>176</v>
      </c>
      <c r="N273" s="146">
        <v>25486.739999999998</v>
      </c>
      <c r="O273" s="146"/>
      <c r="P273" s="110">
        <f t="shared" si="6"/>
        <v>0</v>
      </c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</row>
    <row r="274" spans="1:28" ht="36">
      <c r="A274" s="59">
        <v>30480252</v>
      </c>
      <c r="B274" s="102">
        <v>31</v>
      </c>
      <c r="C274" s="98" t="s">
        <v>30</v>
      </c>
      <c r="D274" s="96"/>
      <c r="E274" s="96" t="s">
        <v>138</v>
      </c>
      <c r="F274" s="103" t="s">
        <v>563</v>
      </c>
      <c r="G274" s="96" t="s">
        <v>82</v>
      </c>
      <c r="H274" s="96" t="s">
        <v>184</v>
      </c>
      <c r="I274" s="96">
        <v>2023</v>
      </c>
      <c r="J274" s="96">
        <v>13598</v>
      </c>
      <c r="K274" s="141">
        <v>289796</v>
      </c>
      <c r="L274" s="96" t="s">
        <v>147</v>
      </c>
      <c r="M274" s="100" t="s">
        <v>488</v>
      </c>
      <c r="N274" s="146">
        <v>28000</v>
      </c>
      <c r="O274" s="110"/>
      <c r="P274" s="110">
        <f t="shared" si="6"/>
        <v>0</v>
      </c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</row>
    <row r="275" spans="1:28" ht="60">
      <c r="A275" s="222">
        <v>30484187</v>
      </c>
      <c r="B275" s="1">
        <v>31</v>
      </c>
      <c r="C275" s="210" t="s">
        <v>30</v>
      </c>
      <c r="D275" s="6"/>
      <c r="E275" s="114" t="s">
        <v>185</v>
      </c>
      <c r="F275" s="113" t="s">
        <v>564</v>
      </c>
      <c r="G275" s="114" t="s">
        <v>91</v>
      </c>
      <c r="H275" s="6" t="s">
        <v>188</v>
      </c>
      <c r="I275" s="114">
        <v>2018</v>
      </c>
      <c r="J275" s="114" t="s">
        <v>189</v>
      </c>
      <c r="K275" s="138">
        <v>69024</v>
      </c>
      <c r="L275" s="264" t="s">
        <v>158</v>
      </c>
      <c r="M275" s="100" t="s">
        <v>176</v>
      </c>
      <c r="N275" s="146">
        <v>1000</v>
      </c>
      <c r="O275" s="146"/>
      <c r="P275" s="110">
        <f t="shared" si="6"/>
        <v>0</v>
      </c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</row>
    <row r="276" spans="1:28" ht="60">
      <c r="A276" s="102">
        <v>30484184</v>
      </c>
      <c r="B276" s="102">
        <v>31</v>
      </c>
      <c r="C276" s="98" t="s">
        <v>30</v>
      </c>
      <c r="D276" s="96"/>
      <c r="E276" s="96" t="s">
        <v>185</v>
      </c>
      <c r="F276" s="103" t="s">
        <v>565</v>
      </c>
      <c r="G276" s="96" t="s">
        <v>91</v>
      </c>
      <c r="H276" s="96" t="s">
        <v>188</v>
      </c>
      <c r="I276" s="114">
        <v>2018</v>
      </c>
      <c r="J276" s="114" t="s">
        <v>189</v>
      </c>
      <c r="K276" s="137">
        <v>68324</v>
      </c>
      <c r="L276" s="96" t="s">
        <v>158</v>
      </c>
      <c r="M276" s="100" t="s">
        <v>176</v>
      </c>
      <c r="N276" s="110">
        <v>1000</v>
      </c>
      <c r="O276" s="110"/>
      <c r="P276" s="110">
        <f t="shared" si="6"/>
        <v>0</v>
      </c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</row>
    <row r="277" spans="1:28" ht="36">
      <c r="A277" s="59">
        <v>40005309</v>
      </c>
      <c r="B277" s="98" t="s">
        <v>566</v>
      </c>
      <c r="C277" s="98" t="s">
        <v>30</v>
      </c>
      <c r="D277" s="257"/>
      <c r="E277" s="96" t="s">
        <v>131</v>
      </c>
      <c r="F277" s="103" t="s">
        <v>567</v>
      </c>
      <c r="G277" s="112" t="s">
        <v>81</v>
      </c>
      <c r="H277" s="96" t="s">
        <v>140</v>
      </c>
      <c r="I277" s="114">
        <v>2023</v>
      </c>
      <c r="J277" s="114">
        <v>13066</v>
      </c>
      <c r="K277" s="141">
        <v>1578355</v>
      </c>
      <c r="L277" s="262" t="s">
        <v>141</v>
      </c>
      <c r="M277" s="100" t="s">
        <v>488</v>
      </c>
      <c r="N277" s="110">
        <v>90000</v>
      </c>
      <c r="O277" s="110"/>
      <c r="P277" s="110">
        <f t="shared" si="6"/>
        <v>0</v>
      </c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</row>
    <row r="278" spans="1:28" ht="24">
      <c r="A278" s="102">
        <v>40016628</v>
      </c>
      <c r="B278" s="102">
        <v>31</v>
      </c>
      <c r="C278" s="98" t="s">
        <v>30</v>
      </c>
      <c r="D278" s="257"/>
      <c r="E278" s="96" t="s">
        <v>131</v>
      </c>
      <c r="F278" s="103" t="s">
        <v>568</v>
      </c>
      <c r="G278" s="96" t="s">
        <v>82</v>
      </c>
      <c r="H278" s="235" t="s">
        <v>203</v>
      </c>
      <c r="I278" s="96">
        <v>2023</v>
      </c>
      <c r="J278" s="96">
        <v>12795</v>
      </c>
      <c r="K278" s="263">
        <v>1130654</v>
      </c>
      <c r="L278" s="96" t="s">
        <v>204</v>
      </c>
      <c r="M278" s="100" t="s">
        <v>569</v>
      </c>
      <c r="N278" s="110">
        <v>1665278</v>
      </c>
      <c r="O278" s="110">
        <v>1727420</v>
      </c>
      <c r="P278" s="110">
        <f t="shared" si="6"/>
        <v>0</v>
      </c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</row>
    <row r="279" spans="1:28" ht="48">
      <c r="A279" s="102">
        <v>40005349</v>
      </c>
      <c r="B279" s="102">
        <v>31</v>
      </c>
      <c r="C279" s="98" t="s">
        <v>25</v>
      </c>
      <c r="D279" s="96"/>
      <c r="E279" s="96" t="s">
        <v>131</v>
      </c>
      <c r="F279" s="103" t="s">
        <v>570</v>
      </c>
      <c r="G279" s="96" t="s">
        <v>90</v>
      </c>
      <c r="H279" s="96" t="s">
        <v>571</v>
      </c>
      <c r="I279" s="264">
        <v>2018</v>
      </c>
      <c r="J279" s="264">
        <v>9725</v>
      </c>
      <c r="K279" s="137">
        <v>385466</v>
      </c>
      <c r="L279" s="96" t="s">
        <v>137</v>
      </c>
      <c r="M279" s="100" t="s">
        <v>131</v>
      </c>
      <c r="N279" s="110">
        <v>45017</v>
      </c>
      <c r="O279" s="110">
        <v>45000</v>
      </c>
      <c r="P279" s="110">
        <f t="shared" si="6"/>
        <v>19500</v>
      </c>
      <c r="Q279" s="110"/>
      <c r="R279" s="110"/>
      <c r="S279" s="110"/>
      <c r="T279" s="110"/>
      <c r="U279" s="110"/>
      <c r="V279" s="110">
        <v>19500</v>
      </c>
      <c r="W279" s="110"/>
      <c r="X279" s="110"/>
      <c r="Y279" s="110"/>
      <c r="Z279" s="110"/>
      <c r="AA279" s="110"/>
      <c r="AB279" s="110"/>
    </row>
    <row r="280" spans="1:28">
      <c r="A280" s="102" t="s">
        <v>207</v>
      </c>
      <c r="B280" s="102">
        <v>22</v>
      </c>
      <c r="C280" s="98">
        <v>11</v>
      </c>
      <c r="D280" s="235"/>
      <c r="E280" s="96" t="s">
        <v>207</v>
      </c>
      <c r="F280" s="103" t="s">
        <v>572</v>
      </c>
      <c r="G280" s="96" t="s">
        <v>207</v>
      </c>
      <c r="H280" s="96" t="s">
        <v>207</v>
      </c>
      <c r="I280" s="96" t="s">
        <v>207</v>
      </c>
      <c r="J280" s="96" t="s">
        <v>207</v>
      </c>
      <c r="K280" s="236" t="s">
        <v>209</v>
      </c>
      <c r="L280" s="96" t="s">
        <v>207</v>
      </c>
      <c r="M280" s="100" t="s">
        <v>209</v>
      </c>
      <c r="N280" s="237">
        <v>200000</v>
      </c>
      <c r="O280" s="110"/>
      <c r="P280" s="110">
        <f t="shared" si="6"/>
        <v>0</v>
      </c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</row>
    <row r="281" spans="1:28" ht="15">
      <c r="A281" s="102" t="s">
        <v>207</v>
      </c>
      <c r="B281" s="102">
        <v>29</v>
      </c>
      <c r="C281" s="98" t="s">
        <v>38</v>
      </c>
      <c r="D281" s="257"/>
      <c r="E281" s="96" t="s">
        <v>207</v>
      </c>
      <c r="F281" s="103" t="s">
        <v>573</v>
      </c>
      <c r="G281" s="96" t="s">
        <v>207</v>
      </c>
      <c r="H281" s="96" t="s">
        <v>207</v>
      </c>
      <c r="I281" s="96" t="s">
        <v>207</v>
      </c>
      <c r="J281" s="96" t="s">
        <v>207</v>
      </c>
      <c r="K281" s="112" t="s">
        <v>209</v>
      </c>
      <c r="L281" s="96" t="s">
        <v>207</v>
      </c>
      <c r="M281" s="100" t="s">
        <v>209</v>
      </c>
      <c r="N281" s="110">
        <v>421515.12800000003</v>
      </c>
      <c r="O281" s="110"/>
      <c r="P281" s="110">
        <f t="shared" si="6"/>
        <v>0</v>
      </c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</row>
    <row r="282" spans="1:28" ht="48">
      <c r="A282" s="102">
        <v>40017776</v>
      </c>
      <c r="B282" s="102">
        <v>31</v>
      </c>
      <c r="C282" s="98" t="s">
        <v>30</v>
      </c>
      <c r="D282" s="96"/>
      <c r="E282" s="96" t="s">
        <v>131</v>
      </c>
      <c r="F282" s="103" t="s">
        <v>574</v>
      </c>
      <c r="G282" s="96" t="s">
        <v>98</v>
      </c>
      <c r="H282" s="96" t="s">
        <v>153</v>
      </c>
      <c r="I282" s="96">
        <v>2021</v>
      </c>
      <c r="J282" s="96">
        <v>11216</v>
      </c>
      <c r="K282" s="137">
        <v>689354</v>
      </c>
      <c r="L282" s="262" t="s">
        <v>224</v>
      </c>
      <c r="M282" s="100" t="s">
        <v>191</v>
      </c>
      <c r="N282" s="110">
        <v>520000</v>
      </c>
      <c r="O282" s="110">
        <v>496218</v>
      </c>
      <c r="P282" s="110">
        <f t="shared" si="6"/>
        <v>0</v>
      </c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</row>
    <row r="283" spans="1:28" ht="36">
      <c r="A283" s="102">
        <v>30147622</v>
      </c>
      <c r="B283" s="96">
        <v>31</v>
      </c>
      <c r="C283" s="98" t="s">
        <v>30</v>
      </c>
      <c r="D283" s="96"/>
      <c r="E283" s="96" t="s">
        <v>131</v>
      </c>
      <c r="F283" s="103" t="s">
        <v>575</v>
      </c>
      <c r="G283" s="96" t="s">
        <v>81</v>
      </c>
      <c r="H283" s="96" t="s">
        <v>140</v>
      </c>
      <c r="I283" s="96">
        <v>2018</v>
      </c>
      <c r="J283" s="96">
        <v>9636</v>
      </c>
      <c r="K283" s="141">
        <v>851434</v>
      </c>
      <c r="L283" s="112" t="s">
        <v>141</v>
      </c>
      <c r="M283" s="100" t="s">
        <v>151</v>
      </c>
      <c r="N283" s="110">
        <v>620000</v>
      </c>
      <c r="O283" s="110">
        <v>40000</v>
      </c>
      <c r="P283" s="110">
        <f t="shared" ref="P283:P346" si="7">SUM(Q283:AB283)</f>
        <v>0</v>
      </c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</row>
    <row r="284" spans="1:28" ht="48">
      <c r="A284" s="111">
        <v>30107747</v>
      </c>
      <c r="B284" s="96">
        <v>31</v>
      </c>
      <c r="C284" s="98" t="s">
        <v>30</v>
      </c>
      <c r="D284" s="98"/>
      <c r="E284" s="96" t="s">
        <v>131</v>
      </c>
      <c r="F284" s="103" t="s">
        <v>576</v>
      </c>
      <c r="G284" s="112" t="s">
        <v>82</v>
      </c>
      <c r="H284" s="96" t="s">
        <v>140</v>
      </c>
      <c r="I284" s="96">
        <v>2023</v>
      </c>
      <c r="J284" s="96">
        <v>13598</v>
      </c>
      <c r="K284" s="141">
        <v>9010469</v>
      </c>
      <c r="L284" s="96" t="s">
        <v>147</v>
      </c>
      <c r="M284" s="100" t="s">
        <v>191</v>
      </c>
      <c r="N284" s="110">
        <v>160000</v>
      </c>
      <c r="O284" s="110">
        <v>72236</v>
      </c>
      <c r="P284" s="110">
        <f t="shared" si="7"/>
        <v>0</v>
      </c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</row>
    <row r="285" spans="1:28" ht="24">
      <c r="A285" s="59">
        <v>30127968</v>
      </c>
      <c r="B285" s="98" t="s">
        <v>566</v>
      </c>
      <c r="C285" s="98" t="s">
        <v>30</v>
      </c>
      <c r="D285" s="257"/>
      <c r="E285" s="96" t="s">
        <v>131</v>
      </c>
      <c r="F285" s="103" t="s">
        <v>577</v>
      </c>
      <c r="G285" s="112" t="s">
        <v>90</v>
      </c>
      <c r="H285" s="96" t="s">
        <v>143</v>
      </c>
      <c r="I285" s="96">
        <v>2023</v>
      </c>
      <c r="J285" s="96">
        <v>13066</v>
      </c>
      <c r="K285" s="141">
        <v>257336</v>
      </c>
      <c r="L285" s="262" t="s">
        <v>498</v>
      </c>
      <c r="M285" s="100" t="s">
        <v>151</v>
      </c>
      <c r="N285" s="110">
        <v>257336</v>
      </c>
      <c r="O285" s="110">
        <v>142325</v>
      </c>
      <c r="P285" s="110">
        <f t="shared" si="7"/>
        <v>0</v>
      </c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</row>
    <row r="286" spans="1:28" ht="24">
      <c r="A286" s="59">
        <v>40047608</v>
      </c>
      <c r="B286" s="98" t="s">
        <v>578</v>
      </c>
      <c r="C286" s="98" t="s">
        <v>27</v>
      </c>
      <c r="D286" s="257"/>
      <c r="E286" s="96" t="s">
        <v>131</v>
      </c>
      <c r="F286" s="103" t="s">
        <v>579</v>
      </c>
      <c r="G286" s="112" t="s">
        <v>102</v>
      </c>
      <c r="H286" s="96" t="s">
        <v>335</v>
      </c>
      <c r="I286" s="96">
        <v>2022</v>
      </c>
      <c r="J286" s="96">
        <v>12705</v>
      </c>
      <c r="K286" s="141">
        <v>199460</v>
      </c>
      <c r="L286" s="96" t="s">
        <v>299</v>
      </c>
      <c r="M286" s="100" t="s">
        <v>488</v>
      </c>
      <c r="N286" s="110"/>
      <c r="O286" s="110"/>
      <c r="P286" s="110">
        <f t="shared" si="7"/>
        <v>0</v>
      </c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</row>
    <row r="287" spans="1:28" ht="15">
      <c r="A287" s="96" t="s">
        <v>207</v>
      </c>
      <c r="B287" s="98" t="s">
        <v>580</v>
      </c>
      <c r="C287" s="98" t="s">
        <v>27</v>
      </c>
      <c r="D287" s="257"/>
      <c r="E287" s="96" t="s">
        <v>207</v>
      </c>
      <c r="F287" s="103" t="s">
        <v>581</v>
      </c>
      <c r="G287" s="96" t="s">
        <v>207</v>
      </c>
      <c r="H287" s="96" t="s">
        <v>207</v>
      </c>
      <c r="I287" s="96" t="s">
        <v>207</v>
      </c>
      <c r="J287" s="96" t="s">
        <v>207</v>
      </c>
      <c r="K287" s="141"/>
      <c r="L287" s="96" t="s">
        <v>207</v>
      </c>
      <c r="M287" s="100" t="s">
        <v>209</v>
      </c>
      <c r="N287" s="110">
        <v>10757756</v>
      </c>
      <c r="O287" s="110"/>
      <c r="P287" s="110">
        <f t="shared" si="7"/>
        <v>0</v>
      </c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</row>
    <row r="288" spans="1:28" ht="24">
      <c r="A288" s="102">
        <v>40049541</v>
      </c>
      <c r="B288" s="102">
        <v>24</v>
      </c>
      <c r="C288" s="98" t="s">
        <v>27</v>
      </c>
      <c r="D288" s="257"/>
      <c r="E288" s="96" t="s">
        <v>131</v>
      </c>
      <c r="F288" s="103" t="s">
        <v>582</v>
      </c>
      <c r="G288" s="96" t="s">
        <v>81</v>
      </c>
      <c r="H288" s="96" t="s">
        <v>133</v>
      </c>
      <c r="I288" s="96">
        <v>2023</v>
      </c>
      <c r="J288" s="96">
        <v>12881</v>
      </c>
      <c r="K288" s="141">
        <f>345994+334320+587916</f>
        <v>1268230</v>
      </c>
      <c r="L288" s="96" t="s">
        <v>141</v>
      </c>
      <c r="M288" s="100" t="s">
        <v>131</v>
      </c>
      <c r="N288" s="110"/>
      <c r="O288" s="110">
        <v>394852</v>
      </c>
      <c r="P288" s="110">
        <f t="shared" si="7"/>
        <v>318668.41899999999</v>
      </c>
      <c r="Q288" s="110"/>
      <c r="R288" s="269">
        <v>84534.445000000007</v>
      </c>
      <c r="S288" s="110"/>
      <c r="T288" s="110">
        <v>28485.707999999999</v>
      </c>
      <c r="U288" s="110"/>
      <c r="V288" s="110">
        <v>138283.44899999999</v>
      </c>
      <c r="W288" s="110">
        <v>67364.816999999995</v>
      </c>
      <c r="X288" s="110"/>
      <c r="Y288" s="110"/>
      <c r="Z288" s="110"/>
      <c r="AA288" s="110"/>
      <c r="AB288" s="110"/>
    </row>
    <row r="289" spans="1:28" ht="24">
      <c r="A289" s="102">
        <v>40049729</v>
      </c>
      <c r="B289" s="102">
        <v>24</v>
      </c>
      <c r="C289" s="98" t="s">
        <v>27</v>
      </c>
      <c r="D289" s="257"/>
      <c r="E289" s="96" t="s">
        <v>131</v>
      </c>
      <c r="F289" s="103" t="s">
        <v>583</v>
      </c>
      <c r="G289" s="96" t="s">
        <v>96</v>
      </c>
      <c r="H289" s="96" t="s">
        <v>133</v>
      </c>
      <c r="I289" s="96">
        <v>2023</v>
      </c>
      <c r="J289" s="96">
        <v>12881</v>
      </c>
      <c r="K289" s="141">
        <f>471232+529894+795930</f>
        <v>1797056</v>
      </c>
      <c r="L289" s="96" t="s">
        <v>179</v>
      </c>
      <c r="M289" s="100" t="s">
        <v>131</v>
      </c>
      <c r="N289" s="110"/>
      <c r="O289" s="110">
        <v>728850</v>
      </c>
      <c r="P289" s="110">
        <f t="shared" si="7"/>
        <v>472208.89900000003</v>
      </c>
      <c r="Q289" s="110"/>
      <c r="R289" s="269">
        <v>321942.20400000003</v>
      </c>
      <c r="S289" s="110"/>
      <c r="T289" s="110">
        <v>23254.666000000001</v>
      </c>
      <c r="U289" s="110"/>
      <c r="V289" s="110">
        <v>127012.02899999999</v>
      </c>
      <c r="W289" s="110"/>
      <c r="X289" s="110"/>
      <c r="Y289" s="110"/>
      <c r="Z289" s="110"/>
      <c r="AA289" s="110"/>
      <c r="AB289" s="110"/>
    </row>
    <row r="290" spans="1:28" ht="24">
      <c r="A290" s="102">
        <v>40049676</v>
      </c>
      <c r="B290" s="102">
        <v>24</v>
      </c>
      <c r="C290" s="98" t="s">
        <v>27</v>
      </c>
      <c r="D290" s="257"/>
      <c r="E290" s="96" t="s">
        <v>131</v>
      </c>
      <c r="F290" s="103" t="s">
        <v>584</v>
      </c>
      <c r="G290" s="96" t="s">
        <v>89</v>
      </c>
      <c r="H290" s="96" t="s">
        <v>133</v>
      </c>
      <c r="I290" s="96">
        <v>2023</v>
      </c>
      <c r="J290" s="96">
        <v>12881</v>
      </c>
      <c r="K290" s="141">
        <f>420317+548883+708901</f>
        <v>1678101</v>
      </c>
      <c r="L290" s="96" t="s">
        <v>167</v>
      </c>
      <c r="M290" s="100" t="s">
        <v>131</v>
      </c>
      <c r="N290" s="110"/>
      <c r="O290" s="110">
        <v>722878</v>
      </c>
      <c r="P290" s="110">
        <f t="shared" si="7"/>
        <v>405746.43999999994</v>
      </c>
      <c r="Q290" s="110"/>
      <c r="R290" s="269">
        <v>2725.2629999999999</v>
      </c>
      <c r="S290" s="110">
        <v>286899.42</v>
      </c>
      <c r="T290" s="110"/>
      <c r="U290" s="110"/>
      <c r="V290" s="110">
        <v>116121.757</v>
      </c>
      <c r="W290" s="110"/>
      <c r="X290" s="110"/>
      <c r="Y290" s="110"/>
      <c r="Z290" s="110"/>
      <c r="AA290" s="110"/>
      <c r="AB290" s="110"/>
    </row>
    <row r="291" spans="1:28" ht="24">
      <c r="A291" s="102">
        <v>40049708</v>
      </c>
      <c r="B291" s="102">
        <v>24</v>
      </c>
      <c r="C291" s="98" t="s">
        <v>27</v>
      </c>
      <c r="D291" s="257"/>
      <c r="E291" s="96" t="s">
        <v>131</v>
      </c>
      <c r="F291" s="103" t="s">
        <v>585</v>
      </c>
      <c r="G291" s="96" t="s">
        <v>83</v>
      </c>
      <c r="H291" s="96" t="s">
        <v>133</v>
      </c>
      <c r="I291" s="96">
        <v>2023</v>
      </c>
      <c r="J291" s="96">
        <v>12881</v>
      </c>
      <c r="K291" s="141">
        <f>483942</f>
        <v>483942</v>
      </c>
      <c r="L291" s="96" t="s">
        <v>156</v>
      </c>
      <c r="M291" s="100" t="s">
        <v>165</v>
      </c>
      <c r="N291" s="110"/>
      <c r="O291" s="110">
        <v>0</v>
      </c>
      <c r="P291" s="110">
        <f t="shared" si="7"/>
        <v>0</v>
      </c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</row>
    <row r="292" spans="1:28" ht="24">
      <c r="A292" s="102">
        <v>40049761</v>
      </c>
      <c r="B292" s="102">
        <v>24</v>
      </c>
      <c r="C292" s="98" t="s">
        <v>27</v>
      </c>
      <c r="D292" s="257"/>
      <c r="E292" s="96" t="s">
        <v>131</v>
      </c>
      <c r="F292" s="103" t="s">
        <v>586</v>
      </c>
      <c r="G292" s="96" t="s">
        <v>98</v>
      </c>
      <c r="H292" s="96" t="s">
        <v>133</v>
      </c>
      <c r="I292" s="96">
        <v>2023</v>
      </c>
      <c r="J292" s="96">
        <v>12881</v>
      </c>
      <c r="K292" s="141">
        <f>382761+664474+645041</f>
        <v>1692276</v>
      </c>
      <c r="L292" s="96" t="s">
        <v>224</v>
      </c>
      <c r="M292" s="100" t="s">
        <v>131</v>
      </c>
      <c r="N292" s="110"/>
      <c r="O292" s="110">
        <v>524676</v>
      </c>
      <c r="P292" s="110">
        <f t="shared" si="7"/>
        <v>421320.53900000005</v>
      </c>
      <c r="Q292" s="110"/>
      <c r="R292" s="269">
        <v>168358.45300000001</v>
      </c>
      <c r="S292" s="110"/>
      <c r="T292" s="110"/>
      <c r="U292" s="269">
        <v>132221.611</v>
      </c>
      <c r="V292" s="110">
        <v>80730.459000000003</v>
      </c>
      <c r="W292" s="110">
        <v>40010.016000000003</v>
      </c>
      <c r="X292" s="110"/>
      <c r="Y292" s="110"/>
      <c r="Z292" s="110"/>
      <c r="AA292" s="110"/>
      <c r="AB292" s="110"/>
    </row>
    <row r="293" spans="1:28" ht="24">
      <c r="A293" s="102">
        <v>40049689</v>
      </c>
      <c r="B293" s="102">
        <v>24</v>
      </c>
      <c r="C293" s="98" t="s">
        <v>27</v>
      </c>
      <c r="D293" s="257"/>
      <c r="E293" s="96" t="s">
        <v>131</v>
      </c>
      <c r="F293" s="103" t="s">
        <v>587</v>
      </c>
      <c r="G293" s="96" t="s">
        <v>84</v>
      </c>
      <c r="H293" s="96" t="s">
        <v>133</v>
      </c>
      <c r="I293" s="96">
        <v>2023</v>
      </c>
      <c r="J293" s="96">
        <v>12881</v>
      </c>
      <c r="K293" s="141">
        <f>450034+593438+759931</f>
        <v>1803403</v>
      </c>
      <c r="L293" s="96" t="s">
        <v>234</v>
      </c>
      <c r="M293" s="100" t="s">
        <v>131</v>
      </c>
      <c r="N293" s="110"/>
      <c r="O293" s="110">
        <v>639499</v>
      </c>
      <c r="P293" s="110">
        <f t="shared" si="7"/>
        <v>429428.41099999996</v>
      </c>
      <c r="Q293" s="110"/>
      <c r="R293" s="269">
        <v>234630.58799999999</v>
      </c>
      <c r="S293" s="110"/>
      <c r="T293" s="110"/>
      <c r="U293" s="269">
        <v>78897.141000000003</v>
      </c>
      <c r="V293" s="110">
        <v>115900.682</v>
      </c>
      <c r="W293" s="110"/>
      <c r="X293" s="110"/>
      <c r="Y293" s="110"/>
      <c r="Z293" s="110"/>
      <c r="AA293" s="110"/>
      <c r="AB293" s="110"/>
    </row>
    <row r="294" spans="1:28" ht="24">
      <c r="A294" s="102">
        <v>40049573</v>
      </c>
      <c r="B294" s="102">
        <v>24</v>
      </c>
      <c r="C294" s="98" t="s">
        <v>27</v>
      </c>
      <c r="D294" s="257"/>
      <c r="E294" s="96" t="s">
        <v>131</v>
      </c>
      <c r="F294" s="103" t="s">
        <v>588</v>
      </c>
      <c r="G294" s="96" t="s">
        <v>82</v>
      </c>
      <c r="H294" s="96" t="s">
        <v>133</v>
      </c>
      <c r="I294" s="96">
        <v>2023</v>
      </c>
      <c r="J294" s="96">
        <v>12881</v>
      </c>
      <c r="K294" s="141">
        <f>483941+322998+828706</f>
        <v>1635645</v>
      </c>
      <c r="L294" s="96" t="s">
        <v>147</v>
      </c>
      <c r="M294" s="100" t="s">
        <v>131</v>
      </c>
      <c r="N294" s="110"/>
      <c r="O294" s="110">
        <v>527722</v>
      </c>
      <c r="P294" s="110">
        <f t="shared" si="7"/>
        <v>160592.14799999999</v>
      </c>
      <c r="Q294" s="110"/>
      <c r="R294" s="110"/>
      <c r="S294" s="110"/>
      <c r="T294" s="110">
        <v>60476.182000000001</v>
      </c>
      <c r="U294" s="269">
        <v>65607.608999999997</v>
      </c>
      <c r="V294" s="110">
        <v>34508.357000000004</v>
      </c>
      <c r="W294" s="110"/>
      <c r="X294" s="110"/>
      <c r="Y294" s="110"/>
      <c r="Z294" s="110"/>
      <c r="AA294" s="110"/>
      <c r="AB294" s="110"/>
    </row>
    <row r="295" spans="1:28" ht="24">
      <c r="A295" s="102">
        <v>40049774</v>
      </c>
      <c r="B295" s="102">
        <v>24</v>
      </c>
      <c r="C295" s="98" t="s">
        <v>27</v>
      </c>
      <c r="D295" s="257"/>
      <c r="E295" s="96" t="s">
        <v>131</v>
      </c>
      <c r="F295" s="103" t="s">
        <v>589</v>
      </c>
      <c r="G295" s="112" t="s">
        <v>97</v>
      </c>
      <c r="H295" s="96" t="s">
        <v>133</v>
      </c>
      <c r="I295" s="96">
        <v>2023</v>
      </c>
      <c r="J295" s="96">
        <v>12881</v>
      </c>
      <c r="K295" s="141">
        <f>373779+416875+636872</f>
        <v>1427526</v>
      </c>
      <c r="L295" s="96" t="s">
        <v>150</v>
      </c>
      <c r="M295" s="100" t="s">
        <v>131</v>
      </c>
      <c r="N295" s="110"/>
      <c r="O295" s="110">
        <v>484039</v>
      </c>
      <c r="P295" s="110">
        <f t="shared" si="7"/>
        <v>264421.35199999996</v>
      </c>
      <c r="Q295" s="110"/>
      <c r="R295" s="110"/>
      <c r="S295" s="110"/>
      <c r="T295" s="110">
        <v>134887.08199999999</v>
      </c>
      <c r="U295" s="269">
        <v>14976.72</v>
      </c>
      <c r="V295" s="110">
        <v>75463.39</v>
      </c>
      <c r="W295" s="110">
        <v>39094.160000000003</v>
      </c>
      <c r="X295" s="110"/>
      <c r="Y295" s="110"/>
      <c r="Z295" s="110"/>
      <c r="AA295" s="110"/>
      <c r="AB295" s="110"/>
    </row>
    <row r="296" spans="1:28" ht="24">
      <c r="A296" s="102">
        <v>40049721</v>
      </c>
      <c r="B296" s="102">
        <v>24</v>
      </c>
      <c r="C296" s="98" t="s">
        <v>27</v>
      </c>
      <c r="D296" s="257"/>
      <c r="E296" s="96" t="s">
        <v>131</v>
      </c>
      <c r="F296" s="103" t="s">
        <v>590</v>
      </c>
      <c r="G296" s="96" t="s">
        <v>91</v>
      </c>
      <c r="H296" s="96" t="s">
        <v>133</v>
      </c>
      <c r="I296" s="96">
        <v>2023</v>
      </c>
      <c r="J296" s="96">
        <v>12881</v>
      </c>
      <c r="K296" s="141">
        <f>428727+571333+719400</f>
        <v>1719460</v>
      </c>
      <c r="L296" s="96" t="s">
        <v>158</v>
      </c>
      <c r="M296" s="100" t="s">
        <v>131</v>
      </c>
      <c r="N296" s="110"/>
      <c r="O296" s="110">
        <v>875914</v>
      </c>
      <c r="P296" s="110">
        <f t="shared" si="7"/>
        <v>476301.47100000002</v>
      </c>
      <c r="Q296" s="110"/>
      <c r="R296" s="269">
        <v>255899.02</v>
      </c>
      <c r="S296" s="110"/>
      <c r="T296" s="110">
        <v>173128.11600000001</v>
      </c>
      <c r="U296" s="110"/>
      <c r="V296" s="110"/>
      <c r="W296" s="110">
        <v>47274.334999999999</v>
      </c>
      <c r="X296" s="110"/>
      <c r="Y296" s="110"/>
      <c r="Z296" s="110"/>
      <c r="AA296" s="110"/>
      <c r="AB296" s="110"/>
    </row>
    <row r="297" spans="1:28" ht="24">
      <c r="A297" s="102">
        <v>40049753</v>
      </c>
      <c r="B297" s="102">
        <v>24</v>
      </c>
      <c r="C297" s="98" t="s">
        <v>27</v>
      </c>
      <c r="D297" s="257"/>
      <c r="E297" s="96" t="s">
        <v>131</v>
      </c>
      <c r="F297" s="103" t="s">
        <v>591</v>
      </c>
      <c r="G297" s="96" t="s">
        <v>90</v>
      </c>
      <c r="H297" s="96" t="s">
        <v>133</v>
      </c>
      <c r="I297" s="96">
        <v>2023</v>
      </c>
      <c r="J297" s="96">
        <v>12881</v>
      </c>
      <c r="K297" s="141">
        <f>433860+573644+729325</f>
        <v>1736829</v>
      </c>
      <c r="L297" s="96" t="s">
        <v>137</v>
      </c>
      <c r="M297" s="100" t="s">
        <v>131</v>
      </c>
      <c r="N297" s="110"/>
      <c r="O297" s="110">
        <v>724357</v>
      </c>
      <c r="P297" s="110">
        <f t="shared" si="7"/>
        <v>494749</v>
      </c>
      <c r="Q297" s="110"/>
      <c r="R297" s="269">
        <v>9457.5</v>
      </c>
      <c r="S297" s="110">
        <v>335433.54499999998</v>
      </c>
      <c r="T297" s="110"/>
      <c r="U297" s="269">
        <v>21170.575000000001</v>
      </c>
      <c r="V297" s="110"/>
      <c r="W297" s="110">
        <v>128687.38</v>
      </c>
      <c r="X297" s="110"/>
      <c r="Y297" s="110"/>
      <c r="Z297" s="110"/>
      <c r="AA297" s="110"/>
      <c r="AB297" s="110"/>
    </row>
    <row r="298" spans="1:28" ht="24">
      <c r="A298" s="102">
        <v>40049777</v>
      </c>
      <c r="B298" s="102">
        <v>24</v>
      </c>
      <c r="C298" s="98" t="s">
        <v>27</v>
      </c>
      <c r="D298" s="257"/>
      <c r="E298" s="96" t="s">
        <v>131</v>
      </c>
      <c r="F298" s="103" t="s">
        <v>592</v>
      </c>
      <c r="G298" s="96" t="s">
        <v>85</v>
      </c>
      <c r="H298" s="96" t="s">
        <v>133</v>
      </c>
      <c r="I298" s="96">
        <v>2023</v>
      </c>
      <c r="J298" s="96">
        <v>12881</v>
      </c>
      <c r="K298" s="141">
        <f>407731+346234+686561</f>
        <v>1440526</v>
      </c>
      <c r="L298" s="96" t="s">
        <v>194</v>
      </c>
      <c r="M298" s="100" t="s">
        <v>131</v>
      </c>
      <c r="N298" s="110"/>
      <c r="O298" s="110">
        <v>550831</v>
      </c>
      <c r="P298" s="110">
        <f t="shared" si="7"/>
        <v>385234.48100000003</v>
      </c>
      <c r="Q298" s="110"/>
      <c r="R298" s="269">
        <v>95852.475000000006</v>
      </c>
      <c r="S298" s="110">
        <v>109756.227</v>
      </c>
      <c r="T298" s="110"/>
      <c r="U298" s="269">
        <v>53512.794999999998</v>
      </c>
      <c r="V298" s="110">
        <v>82249.035000000003</v>
      </c>
      <c r="W298" s="110">
        <v>43863.949000000001</v>
      </c>
      <c r="X298" s="110"/>
      <c r="Y298" s="110"/>
      <c r="Z298" s="110"/>
      <c r="AA298" s="110"/>
      <c r="AB298" s="110"/>
    </row>
    <row r="299" spans="1:28" ht="24">
      <c r="A299" s="102">
        <v>40049687</v>
      </c>
      <c r="B299" s="102">
        <v>24</v>
      </c>
      <c r="C299" s="98" t="s">
        <v>27</v>
      </c>
      <c r="D299" s="257"/>
      <c r="E299" s="96" t="s">
        <v>131</v>
      </c>
      <c r="F299" s="103" t="s">
        <v>593</v>
      </c>
      <c r="G299" s="96" t="s">
        <v>92</v>
      </c>
      <c r="H299" s="96" t="s">
        <v>133</v>
      </c>
      <c r="I299" s="96">
        <v>2023</v>
      </c>
      <c r="J299" s="96">
        <v>12881</v>
      </c>
      <c r="K299" s="141">
        <f>421089+579827+709730</f>
        <v>1710646</v>
      </c>
      <c r="L299" s="96" t="s">
        <v>161</v>
      </c>
      <c r="M299" s="100" t="s">
        <v>131</v>
      </c>
      <c r="N299" s="110"/>
      <c r="O299" s="110">
        <v>745407</v>
      </c>
      <c r="P299" s="110">
        <f t="shared" si="7"/>
        <v>333753.52500000002</v>
      </c>
      <c r="Q299" s="110"/>
      <c r="R299" s="269">
        <v>148729.62599999999</v>
      </c>
      <c r="S299" s="110"/>
      <c r="T299" s="110">
        <v>80686.804000000004</v>
      </c>
      <c r="U299" s="269">
        <v>104337.095</v>
      </c>
      <c r="V299" s="110"/>
      <c r="W299" s="110"/>
      <c r="X299" s="110"/>
      <c r="Y299" s="110"/>
      <c r="Z299" s="110"/>
      <c r="AA299" s="110"/>
      <c r="AB299" s="110"/>
    </row>
    <row r="300" spans="1:28" ht="24">
      <c r="A300" s="102">
        <v>40049628</v>
      </c>
      <c r="B300" s="102">
        <v>24</v>
      </c>
      <c r="C300" s="98" t="s">
        <v>27</v>
      </c>
      <c r="D300" s="257"/>
      <c r="E300" s="96" t="s">
        <v>131</v>
      </c>
      <c r="F300" s="103" t="s">
        <v>594</v>
      </c>
      <c r="G300" s="96" t="s">
        <v>93</v>
      </c>
      <c r="H300" s="96" t="s">
        <v>133</v>
      </c>
      <c r="I300" s="96">
        <v>2023</v>
      </c>
      <c r="J300" s="96">
        <v>12881</v>
      </c>
      <c r="K300" s="141">
        <f>503094+739270+807770</f>
        <v>2050134</v>
      </c>
      <c r="L300" s="96" t="s">
        <v>218</v>
      </c>
      <c r="M300" s="100" t="s">
        <v>131</v>
      </c>
      <c r="N300" s="110"/>
      <c r="O300" s="110">
        <v>630284</v>
      </c>
      <c r="P300" s="110">
        <f t="shared" si="7"/>
        <v>238094.74099999998</v>
      </c>
      <c r="Q300" s="110"/>
      <c r="R300" s="269">
        <v>93262.259000000005</v>
      </c>
      <c r="S300" s="110"/>
      <c r="T300" s="110"/>
      <c r="U300" s="110"/>
      <c r="V300" s="110"/>
      <c r="W300" s="110">
        <v>144832.48199999999</v>
      </c>
      <c r="X300" s="110"/>
      <c r="Y300" s="110"/>
      <c r="Z300" s="110"/>
      <c r="AA300" s="110"/>
      <c r="AB300" s="110"/>
    </row>
    <row r="301" spans="1:28" ht="24">
      <c r="A301" s="102">
        <v>40049769</v>
      </c>
      <c r="B301" s="102">
        <v>24</v>
      </c>
      <c r="C301" s="98" t="s">
        <v>27</v>
      </c>
      <c r="D301" s="257"/>
      <c r="E301" s="96" t="s">
        <v>131</v>
      </c>
      <c r="F301" s="103" t="s">
        <v>595</v>
      </c>
      <c r="G301" s="96" t="s">
        <v>99</v>
      </c>
      <c r="H301" s="96" t="s">
        <v>133</v>
      </c>
      <c r="I301" s="96">
        <v>2023</v>
      </c>
      <c r="J301" s="96">
        <v>12881</v>
      </c>
      <c r="K301" s="141">
        <f>400959+647393+676349</f>
        <v>1724701</v>
      </c>
      <c r="L301" s="96" t="s">
        <v>198</v>
      </c>
      <c r="M301" s="100" t="s">
        <v>131</v>
      </c>
      <c r="N301" s="110"/>
      <c r="O301" s="110">
        <v>738021</v>
      </c>
      <c r="P301" s="110">
        <f t="shared" si="7"/>
        <v>382781.86100000003</v>
      </c>
      <c r="Q301" s="110"/>
      <c r="R301" s="269">
        <v>187144.39499999999</v>
      </c>
      <c r="S301" s="110">
        <v>121104.95299999999</v>
      </c>
      <c r="T301" s="110"/>
      <c r="U301" s="110"/>
      <c r="V301" s="110"/>
      <c r="W301" s="110">
        <v>74532.513000000006</v>
      </c>
      <c r="X301" s="110"/>
      <c r="Y301" s="110"/>
      <c r="Z301" s="110"/>
      <c r="AA301" s="110"/>
      <c r="AB301" s="110"/>
    </row>
    <row r="302" spans="1:28" ht="24">
      <c r="A302" s="102">
        <v>40049384</v>
      </c>
      <c r="B302" s="102">
        <v>24</v>
      </c>
      <c r="C302" s="98" t="s">
        <v>27</v>
      </c>
      <c r="D302" s="257"/>
      <c r="E302" s="96" t="s">
        <v>131</v>
      </c>
      <c r="F302" s="103" t="s">
        <v>596</v>
      </c>
      <c r="G302" s="96" t="s">
        <v>86</v>
      </c>
      <c r="H302" s="96" t="s">
        <v>133</v>
      </c>
      <c r="I302" s="96">
        <v>2023</v>
      </c>
      <c r="J302" s="96">
        <v>12881</v>
      </c>
      <c r="K302" s="141">
        <f>376283+541696+636616</f>
        <v>1554595</v>
      </c>
      <c r="L302" s="96" t="s">
        <v>221</v>
      </c>
      <c r="M302" s="100" t="s">
        <v>131</v>
      </c>
      <c r="N302" s="110"/>
      <c r="O302" s="110">
        <v>566328</v>
      </c>
      <c r="P302" s="110">
        <f t="shared" si="7"/>
        <v>288924.22700000001</v>
      </c>
      <c r="Q302" s="110"/>
      <c r="R302" s="269">
        <v>205100.166</v>
      </c>
      <c r="S302" s="110"/>
      <c r="T302" s="110">
        <v>18123.791000000001</v>
      </c>
      <c r="U302" s="110"/>
      <c r="V302" s="110">
        <v>11944.84</v>
      </c>
      <c r="W302" s="110">
        <v>53755.43</v>
      </c>
      <c r="X302" s="110"/>
      <c r="Y302" s="110"/>
      <c r="Z302" s="110"/>
      <c r="AA302" s="110"/>
      <c r="AB302" s="110"/>
    </row>
    <row r="303" spans="1:28" ht="24">
      <c r="A303" s="259">
        <v>40044739</v>
      </c>
      <c r="B303" s="96">
        <v>29</v>
      </c>
      <c r="C303" s="98" t="s">
        <v>27</v>
      </c>
      <c r="D303" s="98"/>
      <c r="E303" s="96" t="s">
        <v>131</v>
      </c>
      <c r="F303" s="103" t="s">
        <v>597</v>
      </c>
      <c r="G303" s="112" t="s">
        <v>86</v>
      </c>
      <c r="H303" s="96" t="s">
        <v>146</v>
      </c>
      <c r="I303" s="96">
        <v>2024</v>
      </c>
      <c r="J303" s="96">
        <v>13835</v>
      </c>
      <c r="K303" s="141">
        <v>89607</v>
      </c>
      <c r="L303" s="96" t="s">
        <v>172</v>
      </c>
      <c r="M303" s="100" t="s">
        <v>131</v>
      </c>
      <c r="N303" s="110">
        <v>93370</v>
      </c>
      <c r="O303" s="110">
        <v>95200</v>
      </c>
      <c r="P303" s="110">
        <f t="shared" si="7"/>
        <v>0</v>
      </c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</row>
    <row r="304" spans="1:28" ht="36">
      <c r="A304" s="59">
        <v>40048762</v>
      </c>
      <c r="B304" s="102">
        <v>29</v>
      </c>
      <c r="C304" s="98" t="s">
        <v>27</v>
      </c>
      <c r="D304" s="96"/>
      <c r="E304" s="96" t="s">
        <v>131</v>
      </c>
      <c r="F304" s="103" t="s">
        <v>598</v>
      </c>
      <c r="G304" s="96" t="s">
        <v>82</v>
      </c>
      <c r="H304" s="96" t="s">
        <v>146</v>
      </c>
      <c r="I304" s="96">
        <v>2023</v>
      </c>
      <c r="J304" s="96">
        <v>13202</v>
      </c>
      <c r="K304" s="141">
        <v>164425</v>
      </c>
      <c r="L304" s="96" t="s">
        <v>172</v>
      </c>
      <c r="M304" s="100" t="s">
        <v>144</v>
      </c>
      <c r="N304" s="110">
        <v>164425</v>
      </c>
      <c r="O304" s="110">
        <v>147192</v>
      </c>
      <c r="P304" s="110">
        <f t="shared" si="7"/>
        <v>147191.1</v>
      </c>
      <c r="Q304" s="110"/>
      <c r="R304" s="110"/>
      <c r="S304" s="110"/>
      <c r="T304" s="110">
        <v>147191.1</v>
      </c>
      <c r="U304" s="110"/>
      <c r="V304" s="110"/>
      <c r="W304" s="110"/>
      <c r="X304" s="110"/>
      <c r="Y304" s="110"/>
      <c r="Z304" s="110"/>
      <c r="AA304" s="110"/>
      <c r="AB304" s="110"/>
    </row>
    <row r="305" spans="1:28" ht="24">
      <c r="A305" s="59">
        <v>30486611</v>
      </c>
      <c r="B305" s="98" t="s">
        <v>566</v>
      </c>
      <c r="C305" s="98" t="s">
        <v>30</v>
      </c>
      <c r="D305" s="257"/>
      <c r="E305" s="96" t="s">
        <v>131</v>
      </c>
      <c r="F305" s="103" t="s">
        <v>599</v>
      </c>
      <c r="G305" s="112" t="s">
        <v>99</v>
      </c>
      <c r="H305" s="96" t="s">
        <v>149</v>
      </c>
      <c r="I305" s="96">
        <v>2023</v>
      </c>
      <c r="J305" s="96">
        <v>13145</v>
      </c>
      <c r="K305" s="141">
        <v>962224</v>
      </c>
      <c r="L305" s="262" t="s">
        <v>198</v>
      </c>
      <c r="M305" s="100" t="s">
        <v>131</v>
      </c>
      <c r="N305" s="110">
        <v>477248</v>
      </c>
      <c r="O305" s="110">
        <v>211972</v>
      </c>
      <c r="P305" s="110">
        <f t="shared" si="7"/>
        <v>7200</v>
      </c>
      <c r="Q305" s="110"/>
      <c r="R305" s="110"/>
      <c r="S305" s="110">
        <v>3600</v>
      </c>
      <c r="T305" s="110">
        <v>3600</v>
      </c>
      <c r="U305" s="110"/>
      <c r="V305" s="110"/>
      <c r="W305" s="110"/>
      <c r="X305" s="110"/>
      <c r="Y305" s="110"/>
      <c r="Z305" s="110"/>
      <c r="AA305" s="110"/>
      <c r="AB305" s="110"/>
    </row>
    <row r="306" spans="1:28" ht="36">
      <c r="A306" s="59">
        <v>40045668</v>
      </c>
      <c r="B306" s="98" t="s">
        <v>523</v>
      </c>
      <c r="C306" s="98" t="s">
        <v>27</v>
      </c>
      <c r="D306" s="257"/>
      <c r="E306" s="96" t="s">
        <v>131</v>
      </c>
      <c r="F306" s="103" t="s">
        <v>600</v>
      </c>
      <c r="G306" s="112" t="s">
        <v>102</v>
      </c>
      <c r="H306" s="96" t="s">
        <v>149</v>
      </c>
      <c r="I306" s="96">
        <v>2023</v>
      </c>
      <c r="J306" s="96">
        <v>13145</v>
      </c>
      <c r="K306" s="141">
        <v>313034</v>
      </c>
      <c r="L306" s="262" t="s">
        <v>385</v>
      </c>
      <c r="M306" s="100" t="s">
        <v>165</v>
      </c>
      <c r="N306" s="110"/>
      <c r="O306" s="110"/>
      <c r="P306" s="110">
        <f t="shared" si="7"/>
        <v>0</v>
      </c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</row>
    <row r="307" spans="1:28" ht="36">
      <c r="A307" s="102">
        <v>40011807</v>
      </c>
      <c r="B307" s="98" t="s">
        <v>523</v>
      </c>
      <c r="C307" s="98" t="s">
        <v>27</v>
      </c>
      <c r="D307" s="96"/>
      <c r="E307" s="96" t="s">
        <v>131</v>
      </c>
      <c r="F307" s="103" t="s">
        <v>601</v>
      </c>
      <c r="G307" s="96" t="s">
        <v>84</v>
      </c>
      <c r="H307" s="96" t="s">
        <v>160</v>
      </c>
      <c r="I307" s="96">
        <v>2023</v>
      </c>
      <c r="J307" s="96">
        <v>13203</v>
      </c>
      <c r="K307" s="141">
        <v>556905</v>
      </c>
      <c r="L307" s="262" t="s">
        <v>234</v>
      </c>
      <c r="M307" s="100" t="s">
        <v>481</v>
      </c>
      <c r="N307" s="110">
        <v>1000</v>
      </c>
      <c r="O307" s="110"/>
      <c r="P307" s="110">
        <f t="shared" si="7"/>
        <v>0</v>
      </c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110"/>
      <c r="AB307" s="110"/>
    </row>
    <row r="308" spans="1:28" ht="24">
      <c r="A308" s="59">
        <v>40021817</v>
      </c>
      <c r="B308" s="98" t="s">
        <v>566</v>
      </c>
      <c r="C308" s="98" t="s">
        <v>30</v>
      </c>
      <c r="D308" s="257"/>
      <c r="E308" s="96" t="s">
        <v>131</v>
      </c>
      <c r="F308" s="103" t="s">
        <v>602</v>
      </c>
      <c r="G308" s="112" t="s">
        <v>97</v>
      </c>
      <c r="H308" s="96" t="s">
        <v>203</v>
      </c>
      <c r="I308" s="96">
        <v>2023</v>
      </c>
      <c r="J308" s="96">
        <v>13066</v>
      </c>
      <c r="K308" s="141">
        <v>3818182</v>
      </c>
      <c r="L308" s="262" t="s">
        <v>150</v>
      </c>
      <c r="M308" s="100" t="s">
        <v>151</v>
      </c>
      <c r="N308" s="110">
        <v>450000</v>
      </c>
      <c r="O308" s="110">
        <v>132000</v>
      </c>
      <c r="P308" s="110">
        <f t="shared" si="7"/>
        <v>0</v>
      </c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</row>
    <row r="309" spans="1:28" ht="15">
      <c r="A309" s="270">
        <v>40058940</v>
      </c>
      <c r="B309" s="231">
        <v>33</v>
      </c>
      <c r="C309" s="217" t="s">
        <v>27</v>
      </c>
      <c r="D309" s="257"/>
      <c r="E309" s="96" t="s">
        <v>131</v>
      </c>
      <c r="F309" s="271" t="s">
        <v>603</v>
      </c>
      <c r="G309" s="229" t="s">
        <v>102</v>
      </c>
      <c r="H309" s="96" t="s">
        <v>133</v>
      </c>
      <c r="I309" s="96">
        <v>2023</v>
      </c>
      <c r="J309" s="96">
        <v>13061</v>
      </c>
      <c r="K309" s="141">
        <v>975385</v>
      </c>
      <c r="L309" s="232" t="s">
        <v>340</v>
      </c>
      <c r="M309" s="100" t="s">
        <v>131</v>
      </c>
      <c r="N309" s="110">
        <v>1094606</v>
      </c>
      <c r="O309" s="110">
        <v>1094606</v>
      </c>
      <c r="P309" s="110">
        <f t="shared" si="7"/>
        <v>1547.761</v>
      </c>
      <c r="Q309" s="110"/>
      <c r="R309" s="110"/>
      <c r="S309" s="110">
        <v>212.74</v>
      </c>
      <c r="T309" s="110">
        <v>335.02100000000002</v>
      </c>
      <c r="U309" s="110">
        <v>1000</v>
      </c>
      <c r="V309" s="110"/>
      <c r="W309" s="110"/>
      <c r="X309" s="110"/>
      <c r="Y309" s="110"/>
      <c r="Z309" s="110"/>
      <c r="AA309" s="110"/>
      <c r="AB309" s="269"/>
    </row>
    <row r="310" spans="1:28" ht="36">
      <c r="A310" s="59">
        <v>30093586</v>
      </c>
      <c r="B310" s="98" t="s">
        <v>566</v>
      </c>
      <c r="C310" s="98" t="s">
        <v>30</v>
      </c>
      <c r="D310" s="96"/>
      <c r="E310" s="96" t="s">
        <v>131</v>
      </c>
      <c r="F310" s="103" t="s">
        <v>604</v>
      </c>
      <c r="G310" s="112" t="s">
        <v>81</v>
      </c>
      <c r="H310" s="96" t="s">
        <v>140</v>
      </c>
      <c r="I310" s="96">
        <v>2023</v>
      </c>
      <c r="J310" s="96">
        <v>13066</v>
      </c>
      <c r="K310" s="141">
        <v>10360718</v>
      </c>
      <c r="L310" s="262" t="s">
        <v>141</v>
      </c>
      <c r="M310" s="100" t="s">
        <v>488</v>
      </c>
      <c r="N310" s="110">
        <v>480000</v>
      </c>
      <c r="O310" s="110">
        <v>92188</v>
      </c>
      <c r="P310" s="110">
        <f t="shared" si="7"/>
        <v>0</v>
      </c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</row>
    <row r="311" spans="1:28" ht="24">
      <c r="A311" s="260">
        <v>30107156</v>
      </c>
      <c r="B311" s="96">
        <v>31</v>
      </c>
      <c r="C311" s="98" t="s">
        <v>30</v>
      </c>
      <c r="D311" s="98"/>
      <c r="E311" s="96" t="s">
        <v>131</v>
      </c>
      <c r="F311" s="103" t="s">
        <v>605</v>
      </c>
      <c r="G311" s="112" t="s">
        <v>96</v>
      </c>
      <c r="H311" s="96" t="s">
        <v>146</v>
      </c>
      <c r="I311" s="96">
        <v>2023</v>
      </c>
      <c r="J311" s="96">
        <v>13693</v>
      </c>
      <c r="K311" s="141">
        <v>1793660</v>
      </c>
      <c r="L311" s="96" t="s">
        <v>172</v>
      </c>
      <c r="M311" s="100" t="s">
        <v>163</v>
      </c>
      <c r="N311" s="110">
        <v>179000</v>
      </c>
      <c r="O311" s="110">
        <v>377622</v>
      </c>
      <c r="P311" s="110">
        <f t="shared" si="7"/>
        <v>0</v>
      </c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  <c r="AA311" s="110"/>
      <c r="AB311" s="110"/>
    </row>
    <row r="312" spans="1:28" ht="24">
      <c r="A312" s="219">
        <v>30369072</v>
      </c>
      <c r="B312" s="102">
        <v>31</v>
      </c>
      <c r="C312" s="98" t="s">
        <v>30</v>
      </c>
      <c r="D312" s="96"/>
      <c r="E312" s="96" t="s">
        <v>131</v>
      </c>
      <c r="F312" s="103" t="s">
        <v>606</v>
      </c>
      <c r="G312" s="96" t="s">
        <v>85</v>
      </c>
      <c r="H312" s="96" t="s">
        <v>146</v>
      </c>
      <c r="I312" s="96">
        <v>2019</v>
      </c>
      <c r="J312" s="96">
        <v>10023</v>
      </c>
      <c r="K312" s="137">
        <v>589505</v>
      </c>
      <c r="L312" s="96" t="s">
        <v>172</v>
      </c>
      <c r="M312" s="100" t="s">
        <v>241</v>
      </c>
      <c r="N312" s="110">
        <v>1000</v>
      </c>
      <c r="O312" s="110"/>
      <c r="P312" s="110">
        <f t="shared" si="7"/>
        <v>0</v>
      </c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A312" s="110"/>
      <c r="AB312" s="110"/>
    </row>
    <row r="313" spans="1:28" ht="28.5" customHeight="1">
      <c r="A313" s="219">
        <v>40014111</v>
      </c>
      <c r="B313" s="102">
        <v>31</v>
      </c>
      <c r="C313" s="98" t="s">
        <v>30</v>
      </c>
      <c r="D313" s="102"/>
      <c r="E313" s="96" t="s">
        <v>131</v>
      </c>
      <c r="F313" s="103" t="s">
        <v>607</v>
      </c>
      <c r="G313" s="96" t="s">
        <v>83</v>
      </c>
      <c r="H313" s="96" t="s">
        <v>146</v>
      </c>
      <c r="I313" s="96">
        <v>2020</v>
      </c>
      <c r="J313" s="59">
        <v>10339</v>
      </c>
      <c r="K313" s="137">
        <v>304721.51799999998</v>
      </c>
      <c r="L313" s="96" t="s">
        <v>172</v>
      </c>
      <c r="M313" s="100" t="s">
        <v>176</v>
      </c>
      <c r="N313" s="110">
        <v>1000</v>
      </c>
      <c r="O313" s="110">
        <v>25000</v>
      </c>
      <c r="P313" s="110">
        <f t="shared" si="7"/>
        <v>0</v>
      </c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  <c r="AA313" s="110"/>
      <c r="AB313" s="110"/>
    </row>
    <row r="314" spans="1:28" ht="24">
      <c r="A314" s="219">
        <v>40037651</v>
      </c>
      <c r="B314" s="102">
        <v>29</v>
      </c>
      <c r="C314" s="98" t="s">
        <v>27</v>
      </c>
      <c r="D314" s="102"/>
      <c r="E314" s="96" t="s">
        <v>131</v>
      </c>
      <c r="F314" s="103" t="s">
        <v>608</v>
      </c>
      <c r="G314" s="112" t="s">
        <v>102</v>
      </c>
      <c r="H314" s="96" t="s">
        <v>146</v>
      </c>
      <c r="I314" s="96">
        <v>2023</v>
      </c>
      <c r="J314" s="96">
        <v>12956</v>
      </c>
      <c r="K314" s="141">
        <v>1994278</v>
      </c>
      <c r="L314" s="96" t="s">
        <v>172</v>
      </c>
      <c r="M314" s="100" t="s">
        <v>131</v>
      </c>
      <c r="N314" s="110">
        <v>955603</v>
      </c>
      <c r="O314" s="110">
        <v>447018</v>
      </c>
      <c r="P314" s="110">
        <f t="shared" si="7"/>
        <v>447017.55</v>
      </c>
      <c r="Q314" s="110"/>
      <c r="R314" s="110"/>
      <c r="S314" s="110"/>
      <c r="T314" s="110"/>
      <c r="U314" s="110">
        <v>447017.55</v>
      </c>
      <c r="V314" s="110"/>
      <c r="W314" s="110"/>
      <c r="X314" s="110"/>
      <c r="Y314" s="110"/>
      <c r="Z314" s="110"/>
      <c r="AA314" s="110"/>
      <c r="AB314" s="110"/>
    </row>
    <row r="315" spans="1:28" ht="24">
      <c r="A315" s="219">
        <v>40037651</v>
      </c>
      <c r="B315" s="102">
        <v>29</v>
      </c>
      <c r="C315" s="98" t="s">
        <v>38</v>
      </c>
      <c r="D315" s="257"/>
      <c r="E315" s="96" t="s">
        <v>131</v>
      </c>
      <c r="F315" s="103" t="s">
        <v>609</v>
      </c>
      <c r="G315" s="112" t="s">
        <v>102</v>
      </c>
      <c r="H315" s="96" t="s">
        <v>146</v>
      </c>
      <c r="I315" s="96">
        <v>2023</v>
      </c>
      <c r="J315" s="96">
        <v>12956</v>
      </c>
      <c r="K315" s="141">
        <v>1994278</v>
      </c>
      <c r="L315" s="96" t="s">
        <v>172</v>
      </c>
      <c r="M315" s="100" t="s">
        <v>131</v>
      </c>
      <c r="N315" s="110">
        <v>1108474.73</v>
      </c>
      <c r="O315" s="110">
        <v>608611</v>
      </c>
      <c r="P315" s="110">
        <f t="shared" si="7"/>
        <v>86191.7</v>
      </c>
      <c r="Q315" s="110"/>
      <c r="R315" s="110"/>
      <c r="S315" s="110"/>
      <c r="T315" s="110"/>
      <c r="U315" s="110"/>
      <c r="V315" s="110"/>
      <c r="W315" s="110">
        <v>86191.7</v>
      </c>
      <c r="X315" s="110"/>
      <c r="Y315" s="110"/>
      <c r="Z315" s="110"/>
      <c r="AA315" s="110"/>
      <c r="AB315" s="110"/>
    </row>
    <row r="316" spans="1:28" ht="36">
      <c r="A316" s="256">
        <v>40043201</v>
      </c>
      <c r="B316" s="98" t="s">
        <v>578</v>
      </c>
      <c r="C316" s="98" t="s">
        <v>27</v>
      </c>
      <c r="D316" s="257"/>
      <c r="E316" s="96" t="s">
        <v>131</v>
      </c>
      <c r="F316" s="103" t="s">
        <v>610</v>
      </c>
      <c r="G316" s="112" t="s">
        <v>102</v>
      </c>
      <c r="H316" s="96" t="s">
        <v>335</v>
      </c>
      <c r="I316" s="96">
        <v>2022</v>
      </c>
      <c r="J316" s="96">
        <v>12705</v>
      </c>
      <c r="K316" s="141">
        <v>375000</v>
      </c>
      <c r="L316" s="96" t="s">
        <v>611</v>
      </c>
      <c r="M316" s="100" t="s">
        <v>488</v>
      </c>
      <c r="N316" s="110"/>
      <c r="O316" s="110"/>
      <c r="P316" s="110">
        <f t="shared" si="7"/>
        <v>0</v>
      </c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A316" s="110"/>
      <c r="AB316" s="110"/>
    </row>
    <row r="317" spans="1:28" ht="36">
      <c r="A317" s="256">
        <v>40055893</v>
      </c>
      <c r="B317" s="102">
        <v>33</v>
      </c>
      <c r="C317" s="98" t="s">
        <v>27</v>
      </c>
      <c r="D317" s="96"/>
      <c r="E317" s="96" t="s">
        <v>131</v>
      </c>
      <c r="F317" s="103" t="s">
        <v>612</v>
      </c>
      <c r="G317" s="112" t="s">
        <v>81</v>
      </c>
      <c r="H317" s="96" t="s">
        <v>133</v>
      </c>
      <c r="I317" s="96">
        <v>2023</v>
      </c>
      <c r="J317" s="96">
        <v>13316</v>
      </c>
      <c r="K317" s="141">
        <v>110057</v>
      </c>
      <c r="L317" s="262" t="s">
        <v>141</v>
      </c>
      <c r="M317" s="100" t="s">
        <v>131</v>
      </c>
      <c r="N317" s="110"/>
      <c r="O317" s="110"/>
      <c r="P317" s="110">
        <f t="shared" si="7"/>
        <v>0</v>
      </c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  <c r="AA317" s="110"/>
      <c r="AB317" s="110"/>
    </row>
    <row r="318" spans="1:28" ht="36">
      <c r="A318" s="256">
        <v>40056452</v>
      </c>
      <c r="B318" s="102">
        <v>33</v>
      </c>
      <c r="C318" s="98" t="s">
        <v>27</v>
      </c>
      <c r="D318" s="96"/>
      <c r="E318" s="96" t="s">
        <v>131</v>
      </c>
      <c r="F318" s="103" t="s">
        <v>613</v>
      </c>
      <c r="G318" s="112" t="s">
        <v>96</v>
      </c>
      <c r="H318" s="96" t="s">
        <v>133</v>
      </c>
      <c r="I318" s="96">
        <v>2023</v>
      </c>
      <c r="J318" s="96">
        <v>13316</v>
      </c>
      <c r="K318" s="141">
        <v>110057</v>
      </c>
      <c r="L318" s="96" t="s">
        <v>179</v>
      </c>
      <c r="M318" s="100" t="s">
        <v>131</v>
      </c>
      <c r="N318" s="110"/>
      <c r="O318" s="110"/>
      <c r="P318" s="110">
        <f t="shared" si="7"/>
        <v>0</v>
      </c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  <c r="AA318" s="110"/>
      <c r="AB318" s="110"/>
    </row>
    <row r="319" spans="1:28" ht="36">
      <c r="A319" s="256">
        <v>40055797</v>
      </c>
      <c r="B319" s="102">
        <v>33</v>
      </c>
      <c r="C319" s="98" t="s">
        <v>27</v>
      </c>
      <c r="D319" s="96"/>
      <c r="E319" s="96" t="s">
        <v>131</v>
      </c>
      <c r="F319" s="103" t="s">
        <v>614</v>
      </c>
      <c r="G319" s="112" t="s">
        <v>83</v>
      </c>
      <c r="H319" s="96" t="s">
        <v>149</v>
      </c>
      <c r="I319" s="96">
        <v>2023</v>
      </c>
      <c r="J319" s="96">
        <v>13316</v>
      </c>
      <c r="K319" s="141">
        <v>110057</v>
      </c>
      <c r="L319" s="96" t="s">
        <v>156</v>
      </c>
      <c r="M319" s="100" t="s">
        <v>131</v>
      </c>
      <c r="N319" s="110"/>
      <c r="O319" s="110"/>
      <c r="P319" s="110">
        <f t="shared" si="7"/>
        <v>0</v>
      </c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  <c r="AA319" s="110"/>
      <c r="AB319" s="110"/>
    </row>
    <row r="320" spans="1:28" ht="36">
      <c r="A320" s="256">
        <v>40056257</v>
      </c>
      <c r="B320" s="102">
        <v>33</v>
      </c>
      <c r="C320" s="98" t="s">
        <v>27</v>
      </c>
      <c r="D320" s="96"/>
      <c r="E320" s="96" t="s">
        <v>131</v>
      </c>
      <c r="F320" s="103" t="s">
        <v>615</v>
      </c>
      <c r="G320" s="112" t="s">
        <v>98</v>
      </c>
      <c r="H320" s="96" t="s">
        <v>133</v>
      </c>
      <c r="I320" s="96">
        <v>2023</v>
      </c>
      <c r="J320" s="96">
        <v>13316</v>
      </c>
      <c r="K320" s="141">
        <v>110066</v>
      </c>
      <c r="L320" s="96" t="s">
        <v>224</v>
      </c>
      <c r="M320" s="100" t="s">
        <v>131</v>
      </c>
      <c r="N320" s="110"/>
      <c r="O320" s="110"/>
      <c r="P320" s="110">
        <f t="shared" si="7"/>
        <v>0</v>
      </c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  <c r="AA320" s="110"/>
      <c r="AB320" s="110"/>
    </row>
    <row r="321" spans="1:28" ht="36">
      <c r="A321" s="256">
        <v>40055768</v>
      </c>
      <c r="B321" s="102">
        <v>33</v>
      </c>
      <c r="C321" s="98" t="s">
        <v>27</v>
      </c>
      <c r="D321" s="96"/>
      <c r="E321" s="96" t="s">
        <v>131</v>
      </c>
      <c r="F321" s="103" t="s">
        <v>616</v>
      </c>
      <c r="G321" s="96" t="s">
        <v>82</v>
      </c>
      <c r="H321" s="96" t="s">
        <v>133</v>
      </c>
      <c r="I321" s="96">
        <v>2023</v>
      </c>
      <c r="J321" s="96">
        <v>13316</v>
      </c>
      <c r="K321" s="141">
        <v>110057</v>
      </c>
      <c r="L321" s="96" t="s">
        <v>147</v>
      </c>
      <c r="M321" s="100" t="s">
        <v>131</v>
      </c>
      <c r="N321" s="110"/>
      <c r="O321" s="110"/>
      <c r="P321" s="110">
        <f t="shared" si="7"/>
        <v>0</v>
      </c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  <c r="AA321" s="110"/>
      <c r="AB321" s="110"/>
    </row>
    <row r="322" spans="1:28" ht="36">
      <c r="A322" s="256">
        <v>40055983</v>
      </c>
      <c r="B322" s="102">
        <v>33</v>
      </c>
      <c r="C322" s="98" t="s">
        <v>27</v>
      </c>
      <c r="D322" s="96"/>
      <c r="E322" s="96" t="s">
        <v>131</v>
      </c>
      <c r="F322" s="103" t="s">
        <v>617</v>
      </c>
      <c r="G322" s="96" t="s">
        <v>91</v>
      </c>
      <c r="H322" s="96" t="s">
        <v>133</v>
      </c>
      <c r="I322" s="96">
        <v>2023</v>
      </c>
      <c r="J322" s="96">
        <v>13316</v>
      </c>
      <c r="K322" s="141">
        <v>109979</v>
      </c>
      <c r="L322" s="96" t="s">
        <v>158</v>
      </c>
      <c r="M322" s="100" t="s">
        <v>131</v>
      </c>
      <c r="N322" s="110"/>
      <c r="O322" s="110"/>
      <c r="P322" s="110">
        <f t="shared" si="7"/>
        <v>0</v>
      </c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A322" s="110"/>
      <c r="AB322" s="110"/>
    </row>
    <row r="323" spans="1:28" ht="36">
      <c r="A323" s="256">
        <v>40056079</v>
      </c>
      <c r="B323" s="102">
        <v>33</v>
      </c>
      <c r="C323" s="98" t="s">
        <v>27</v>
      </c>
      <c r="D323" s="96"/>
      <c r="E323" s="96" t="s">
        <v>131</v>
      </c>
      <c r="F323" s="103" t="s">
        <v>618</v>
      </c>
      <c r="G323" s="112" t="s">
        <v>90</v>
      </c>
      <c r="H323" s="96" t="s">
        <v>133</v>
      </c>
      <c r="I323" s="96">
        <v>2023</v>
      </c>
      <c r="J323" s="96">
        <v>13316</v>
      </c>
      <c r="K323" s="141">
        <v>110037</v>
      </c>
      <c r="L323" s="96" t="s">
        <v>137</v>
      </c>
      <c r="M323" s="100" t="s">
        <v>131</v>
      </c>
      <c r="N323" s="110"/>
      <c r="O323" s="110"/>
      <c r="P323" s="110">
        <f t="shared" si="7"/>
        <v>0</v>
      </c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A323" s="110"/>
      <c r="AB323" s="110"/>
    </row>
    <row r="324" spans="1:28" ht="36">
      <c r="A324" s="59">
        <v>30074451</v>
      </c>
      <c r="B324" s="102">
        <v>31</v>
      </c>
      <c r="C324" s="98" t="s">
        <v>30</v>
      </c>
      <c r="D324" s="96"/>
      <c r="E324" s="96" t="s">
        <v>131</v>
      </c>
      <c r="F324" s="103" t="s">
        <v>619</v>
      </c>
      <c r="G324" s="112" t="s">
        <v>90</v>
      </c>
      <c r="H324" s="96" t="s">
        <v>203</v>
      </c>
      <c r="I324" s="96">
        <v>2024</v>
      </c>
      <c r="J324" s="96">
        <v>13843</v>
      </c>
      <c r="K324" s="141">
        <v>610008</v>
      </c>
      <c r="L324" s="96" t="s">
        <v>204</v>
      </c>
      <c r="M324" s="100" t="s">
        <v>569</v>
      </c>
      <c r="N324" s="110">
        <v>680937</v>
      </c>
      <c r="O324" s="110">
        <v>711793</v>
      </c>
      <c r="P324" s="110">
        <f t="shared" si="7"/>
        <v>0</v>
      </c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A324" s="110"/>
      <c r="AB324" s="110"/>
    </row>
    <row r="325" spans="1:28" ht="36">
      <c r="A325" s="102">
        <v>40057561</v>
      </c>
      <c r="B325" s="96">
        <v>33</v>
      </c>
      <c r="C325" s="98" t="s">
        <v>27</v>
      </c>
      <c r="D325" s="98"/>
      <c r="E325" s="96" t="s">
        <v>131</v>
      </c>
      <c r="F325" s="103" t="s">
        <v>620</v>
      </c>
      <c r="G325" s="250" t="s">
        <v>102</v>
      </c>
      <c r="H325" s="96" t="s">
        <v>160</v>
      </c>
      <c r="I325" s="114">
        <v>2024</v>
      </c>
      <c r="J325" s="114">
        <v>13925</v>
      </c>
      <c r="K325" s="223">
        <v>401752</v>
      </c>
      <c r="L325" s="229" t="s">
        <v>621</v>
      </c>
      <c r="M325" s="100" t="s">
        <v>131</v>
      </c>
      <c r="N325" s="146">
        <v>401752</v>
      </c>
      <c r="O325" s="146">
        <v>401752</v>
      </c>
      <c r="P325" s="110">
        <f t="shared" si="7"/>
        <v>35740</v>
      </c>
      <c r="Q325" s="110"/>
      <c r="R325" s="110"/>
      <c r="S325" s="110">
        <v>17178</v>
      </c>
      <c r="T325" s="110">
        <v>1851</v>
      </c>
      <c r="U325" s="110">
        <v>7877</v>
      </c>
      <c r="V325" s="110">
        <v>4120</v>
      </c>
      <c r="W325" s="110">
        <v>4714</v>
      </c>
      <c r="X325" s="110"/>
      <c r="Y325" s="110"/>
      <c r="Z325" s="110"/>
      <c r="AA325" s="110"/>
      <c r="AB325" s="110"/>
    </row>
    <row r="326" spans="1:28" ht="24">
      <c r="A326" s="59">
        <v>40058520</v>
      </c>
      <c r="B326" s="102">
        <v>29</v>
      </c>
      <c r="C326" s="98" t="s">
        <v>27</v>
      </c>
      <c r="D326" s="96"/>
      <c r="E326" s="96" t="s">
        <v>131</v>
      </c>
      <c r="F326" s="103" t="s">
        <v>622</v>
      </c>
      <c r="G326" s="112" t="s">
        <v>99</v>
      </c>
      <c r="H326" s="96" t="s">
        <v>149</v>
      </c>
      <c r="I326" s="114">
        <v>2024</v>
      </c>
      <c r="J326" s="96">
        <v>13961</v>
      </c>
      <c r="K326" s="141">
        <v>87600</v>
      </c>
      <c r="L326" s="229" t="s">
        <v>480</v>
      </c>
      <c r="M326" s="100" t="s">
        <v>163</v>
      </c>
      <c r="N326" s="110">
        <v>87600</v>
      </c>
      <c r="O326" s="110">
        <v>1000</v>
      </c>
      <c r="P326" s="110">
        <f t="shared" si="7"/>
        <v>0</v>
      </c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A326" s="110"/>
      <c r="AB326" s="110"/>
    </row>
    <row r="327" spans="1:28">
      <c r="A327" s="59" t="s">
        <v>207</v>
      </c>
      <c r="B327" s="102">
        <v>29</v>
      </c>
      <c r="C327" s="98" t="s">
        <v>27</v>
      </c>
      <c r="D327" s="96"/>
      <c r="E327" s="96" t="s">
        <v>207</v>
      </c>
      <c r="F327" s="103" t="s">
        <v>623</v>
      </c>
      <c r="G327" s="96" t="s">
        <v>207</v>
      </c>
      <c r="H327" s="96" t="s">
        <v>207</v>
      </c>
      <c r="I327" s="96" t="s">
        <v>207</v>
      </c>
      <c r="J327" s="96" t="s">
        <v>207</v>
      </c>
      <c r="K327" s="112" t="s">
        <v>209</v>
      </c>
      <c r="L327" s="96" t="s">
        <v>207</v>
      </c>
      <c r="M327" s="100" t="s">
        <v>209</v>
      </c>
      <c r="N327" s="110">
        <v>1136264.5760000004</v>
      </c>
      <c r="O327" s="110"/>
      <c r="P327" s="110">
        <f t="shared" si="7"/>
        <v>0</v>
      </c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</row>
    <row r="328" spans="1:28" ht="24">
      <c r="A328" s="59">
        <v>40058239</v>
      </c>
      <c r="B328" s="102">
        <v>29</v>
      </c>
      <c r="C328" s="98" t="s">
        <v>27</v>
      </c>
      <c r="D328" s="96"/>
      <c r="E328" s="96" t="s">
        <v>131</v>
      </c>
      <c r="F328" s="103" t="s">
        <v>624</v>
      </c>
      <c r="G328" s="112" t="s">
        <v>82</v>
      </c>
      <c r="H328" s="96" t="s">
        <v>211</v>
      </c>
      <c r="I328" s="114">
        <v>2024</v>
      </c>
      <c r="J328" s="96">
        <v>13961</v>
      </c>
      <c r="K328" s="141">
        <v>964157</v>
      </c>
      <c r="L328" s="229" t="s">
        <v>480</v>
      </c>
      <c r="M328" s="100" t="s">
        <v>481</v>
      </c>
      <c r="N328" s="146">
        <v>1000</v>
      </c>
      <c r="O328" s="146"/>
      <c r="P328" s="110">
        <f t="shared" si="7"/>
        <v>0</v>
      </c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  <c r="AA328" s="110"/>
      <c r="AB328" s="110"/>
    </row>
    <row r="329" spans="1:28" ht="24">
      <c r="A329" s="59">
        <v>40012009</v>
      </c>
      <c r="B329" s="102">
        <v>31</v>
      </c>
      <c r="C329" s="98" t="s">
        <v>30</v>
      </c>
      <c r="D329" s="96"/>
      <c r="E329" s="96" t="s">
        <v>131</v>
      </c>
      <c r="F329" s="103" t="s">
        <v>625</v>
      </c>
      <c r="G329" s="250" t="s">
        <v>99</v>
      </c>
      <c r="H329" s="96" t="s">
        <v>153</v>
      </c>
      <c r="I329" s="114">
        <v>2024</v>
      </c>
      <c r="J329" s="96">
        <v>13961</v>
      </c>
      <c r="K329" s="141">
        <v>1528412</v>
      </c>
      <c r="L329" s="229" t="s">
        <v>198</v>
      </c>
      <c r="M329" s="100" t="s">
        <v>151</v>
      </c>
      <c r="N329" s="146">
        <v>242000</v>
      </c>
      <c r="O329" s="146">
        <v>240000</v>
      </c>
      <c r="P329" s="110">
        <f t="shared" si="7"/>
        <v>0</v>
      </c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A329" s="110"/>
      <c r="AB329" s="110"/>
    </row>
    <row r="330" spans="1:28" ht="31.5" customHeight="1">
      <c r="A330" s="59">
        <v>40058768</v>
      </c>
      <c r="B330" s="102">
        <v>33</v>
      </c>
      <c r="C330" s="98" t="s">
        <v>27</v>
      </c>
      <c r="D330" s="96"/>
      <c r="E330" s="96" t="s">
        <v>131</v>
      </c>
      <c r="F330" s="103" t="s">
        <v>626</v>
      </c>
      <c r="G330" s="112" t="s">
        <v>102</v>
      </c>
      <c r="H330" s="96" t="s">
        <v>133</v>
      </c>
      <c r="I330" s="96">
        <v>2024</v>
      </c>
      <c r="J330" s="96">
        <v>13961</v>
      </c>
      <c r="K330" s="141">
        <v>799956</v>
      </c>
      <c r="L330" s="96" t="s">
        <v>340</v>
      </c>
      <c r="M330" s="100" t="s">
        <v>338</v>
      </c>
      <c r="N330" s="146">
        <v>799956</v>
      </c>
      <c r="O330" s="146">
        <v>799956</v>
      </c>
      <c r="P330" s="110">
        <f t="shared" si="7"/>
        <v>0</v>
      </c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A330" s="110"/>
      <c r="AB330" s="110"/>
    </row>
    <row r="331" spans="1:28">
      <c r="A331" s="102" t="s">
        <v>207</v>
      </c>
      <c r="B331" s="102">
        <v>24</v>
      </c>
      <c r="C331" s="98" t="s">
        <v>27</v>
      </c>
      <c r="D331" s="96">
        <v>301</v>
      </c>
      <c r="E331" s="96" t="s">
        <v>207</v>
      </c>
      <c r="F331" s="103" t="s">
        <v>627</v>
      </c>
      <c r="G331" s="96" t="s">
        <v>207</v>
      </c>
      <c r="H331" s="96" t="s">
        <v>207</v>
      </c>
      <c r="I331" s="96" t="s">
        <v>207</v>
      </c>
      <c r="J331" s="96" t="s">
        <v>207</v>
      </c>
      <c r="K331" s="112" t="s">
        <v>209</v>
      </c>
      <c r="L331" s="96" t="s">
        <v>207</v>
      </c>
      <c r="M331" s="100" t="s">
        <v>209</v>
      </c>
      <c r="N331" s="110">
        <v>250000</v>
      </c>
      <c r="O331" s="110"/>
      <c r="P331" s="110">
        <f t="shared" si="7"/>
        <v>0</v>
      </c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  <c r="AA331" s="110"/>
      <c r="AB331" s="110"/>
    </row>
    <row r="332" spans="1:28">
      <c r="A332" s="102" t="s">
        <v>207</v>
      </c>
      <c r="B332" s="102">
        <v>31</v>
      </c>
      <c r="C332" s="98" t="s">
        <v>25</v>
      </c>
      <c r="D332" s="96"/>
      <c r="E332" s="96" t="s">
        <v>207</v>
      </c>
      <c r="F332" s="103" t="s">
        <v>628</v>
      </c>
      <c r="G332" s="96" t="s">
        <v>207</v>
      </c>
      <c r="H332" s="96" t="s">
        <v>207</v>
      </c>
      <c r="I332" s="96" t="s">
        <v>207</v>
      </c>
      <c r="J332" s="96" t="s">
        <v>207</v>
      </c>
      <c r="K332" s="112" t="s">
        <v>209</v>
      </c>
      <c r="L332" s="96" t="s">
        <v>207</v>
      </c>
      <c r="M332" s="100" t="s">
        <v>209</v>
      </c>
      <c r="N332" s="110">
        <v>604983</v>
      </c>
      <c r="O332" s="110"/>
      <c r="P332" s="110">
        <f t="shared" si="7"/>
        <v>0</v>
      </c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</row>
    <row r="333" spans="1:28" ht="24">
      <c r="A333" s="219">
        <v>3303125</v>
      </c>
      <c r="B333" s="102">
        <v>33</v>
      </c>
      <c r="C333" s="98" t="s">
        <v>27</v>
      </c>
      <c r="D333" s="96"/>
      <c r="E333" s="96" t="s">
        <v>207</v>
      </c>
      <c r="F333" s="97" t="s">
        <v>629</v>
      </c>
      <c r="G333" s="96" t="s">
        <v>207</v>
      </c>
      <c r="H333" s="96" t="s">
        <v>207</v>
      </c>
      <c r="I333" s="96" t="s">
        <v>207</v>
      </c>
      <c r="J333" s="96" t="s">
        <v>207</v>
      </c>
      <c r="K333" s="112" t="s">
        <v>209</v>
      </c>
      <c r="L333" s="96" t="s">
        <v>207</v>
      </c>
      <c r="M333" s="100" t="s">
        <v>209</v>
      </c>
      <c r="N333" s="110">
        <v>1293425.2479999997</v>
      </c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</row>
    <row r="334" spans="1:28" ht="24">
      <c r="A334" s="219">
        <v>3303125</v>
      </c>
      <c r="B334" s="102">
        <v>33</v>
      </c>
      <c r="C334" s="98" t="s">
        <v>27</v>
      </c>
      <c r="D334" s="96" t="s">
        <v>630</v>
      </c>
      <c r="E334" s="96" t="s">
        <v>131</v>
      </c>
      <c r="F334" s="97" t="s">
        <v>631</v>
      </c>
      <c r="G334" s="96" t="s">
        <v>209</v>
      </c>
      <c r="H334" s="96" t="s">
        <v>207</v>
      </c>
      <c r="I334" s="96">
        <v>2024</v>
      </c>
      <c r="J334" s="96" t="s">
        <v>632</v>
      </c>
      <c r="K334" s="112" t="s">
        <v>209</v>
      </c>
      <c r="L334" s="229" t="s">
        <v>633</v>
      </c>
      <c r="M334" s="100" t="s">
        <v>131</v>
      </c>
      <c r="N334" s="110">
        <v>8706574.7520000003</v>
      </c>
      <c r="O334" s="127">
        <v>6401300</v>
      </c>
      <c r="P334" s="110">
        <f t="shared" si="7"/>
        <v>1518788.7309999997</v>
      </c>
      <c r="Q334" s="110"/>
      <c r="R334" s="269">
        <f>'FRIL 2025'!$J$1</f>
        <v>68661.482999999993</v>
      </c>
      <c r="S334" s="110">
        <f>'FRIL 2025'!K1</f>
        <v>135543.46399999998</v>
      </c>
      <c r="T334" s="110">
        <f>'FRIL 2025'!L1</f>
        <v>256804.75899999996</v>
      </c>
      <c r="U334" s="110">
        <f>'FRIL 2025'!M1</f>
        <v>307926.52899999998</v>
      </c>
      <c r="V334" s="110">
        <f>'FRIL 2025'!N1</f>
        <v>361836.484</v>
      </c>
      <c r="W334" s="110">
        <f>'FRIL 2025'!O1</f>
        <v>388016.01199999999</v>
      </c>
      <c r="X334" s="110"/>
      <c r="Y334" s="110"/>
      <c r="Z334" s="276"/>
      <c r="AA334" s="110"/>
      <c r="AB334" s="269"/>
    </row>
    <row r="335" spans="1:28" ht="24">
      <c r="A335" s="59">
        <v>40014358</v>
      </c>
      <c r="B335" s="102">
        <v>33</v>
      </c>
      <c r="C335" s="98" t="s">
        <v>27</v>
      </c>
      <c r="D335" s="96" t="s">
        <v>634</v>
      </c>
      <c r="E335" s="96" t="s">
        <v>131</v>
      </c>
      <c r="F335" s="103" t="s">
        <v>635</v>
      </c>
      <c r="G335" s="112" t="s">
        <v>102</v>
      </c>
      <c r="H335" s="96" t="s">
        <v>182</v>
      </c>
      <c r="I335" s="96">
        <v>2019</v>
      </c>
      <c r="J335" s="96">
        <v>10064</v>
      </c>
      <c r="K335" s="141">
        <v>69526</v>
      </c>
      <c r="L335" s="262" t="s">
        <v>636</v>
      </c>
      <c r="M335" s="100" t="s">
        <v>131</v>
      </c>
      <c r="N335" s="239">
        <v>4921</v>
      </c>
      <c r="O335" s="239">
        <v>4921</v>
      </c>
      <c r="P335" s="110">
        <f t="shared" si="7"/>
        <v>0</v>
      </c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A335" s="110"/>
      <c r="AB335" s="110"/>
    </row>
    <row r="336" spans="1:28" ht="36">
      <c r="A336" s="59">
        <v>40057029</v>
      </c>
      <c r="B336" s="102">
        <v>31</v>
      </c>
      <c r="C336" s="98" t="s">
        <v>30</v>
      </c>
      <c r="D336" s="96"/>
      <c r="E336" s="96" t="s">
        <v>637</v>
      </c>
      <c r="F336" s="103" t="s">
        <v>638</v>
      </c>
      <c r="G336" s="96" t="s">
        <v>87</v>
      </c>
      <c r="H336" s="96" t="s">
        <v>274</v>
      </c>
      <c r="I336" s="96">
        <v>2024</v>
      </c>
      <c r="J336" s="96">
        <v>14008</v>
      </c>
      <c r="K336" s="141">
        <v>72219</v>
      </c>
      <c r="L336" s="229" t="s">
        <v>480</v>
      </c>
      <c r="M336" s="100" t="s">
        <v>266</v>
      </c>
      <c r="N336" s="110">
        <v>8500</v>
      </c>
      <c r="O336" s="110">
        <v>14895</v>
      </c>
      <c r="P336" s="110">
        <f t="shared" si="7"/>
        <v>0</v>
      </c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</row>
    <row r="337" spans="1:28" ht="36">
      <c r="A337" s="59">
        <v>40066218</v>
      </c>
      <c r="B337" s="102">
        <v>33</v>
      </c>
      <c r="C337" s="98" t="s">
        <v>27</v>
      </c>
      <c r="D337" s="96"/>
      <c r="E337" s="96" t="s">
        <v>131</v>
      </c>
      <c r="F337" s="103" t="s">
        <v>639</v>
      </c>
      <c r="G337" s="112" t="s">
        <v>83</v>
      </c>
      <c r="H337" s="96" t="s">
        <v>140</v>
      </c>
      <c r="I337" s="96">
        <v>2024</v>
      </c>
      <c r="J337" s="96">
        <v>14039</v>
      </c>
      <c r="K337" s="141">
        <v>2697583</v>
      </c>
      <c r="L337" s="96" t="s">
        <v>487</v>
      </c>
      <c r="M337" s="100" t="s">
        <v>488</v>
      </c>
      <c r="N337" s="110"/>
      <c r="O337" s="110"/>
      <c r="P337" s="110">
        <f t="shared" si="7"/>
        <v>0</v>
      </c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</row>
    <row r="338" spans="1:28" ht="36">
      <c r="A338" s="59">
        <v>40057885</v>
      </c>
      <c r="B338" s="102">
        <v>29</v>
      </c>
      <c r="C338" s="98" t="s">
        <v>27</v>
      </c>
      <c r="D338" s="96"/>
      <c r="E338" s="96" t="s">
        <v>131</v>
      </c>
      <c r="F338" s="103" t="s">
        <v>640</v>
      </c>
      <c r="G338" s="96" t="s">
        <v>92</v>
      </c>
      <c r="H338" s="96" t="s">
        <v>160</v>
      </c>
      <c r="I338" s="96">
        <v>2024</v>
      </c>
      <c r="J338" s="96">
        <v>14042</v>
      </c>
      <c r="K338" s="141">
        <v>909600</v>
      </c>
      <c r="L338" s="96" t="s">
        <v>480</v>
      </c>
      <c r="M338" s="100" t="s">
        <v>481</v>
      </c>
      <c r="N338" s="110">
        <v>1000</v>
      </c>
      <c r="O338" s="110"/>
      <c r="P338" s="110">
        <f t="shared" si="7"/>
        <v>0</v>
      </c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  <c r="AA338" s="110"/>
      <c r="AB338" s="110"/>
    </row>
    <row r="339" spans="1:28" ht="24">
      <c r="A339" s="59">
        <v>40058253</v>
      </c>
      <c r="B339" s="102">
        <v>29</v>
      </c>
      <c r="C339" s="98" t="s">
        <v>27</v>
      </c>
      <c r="D339" s="96"/>
      <c r="E339" s="96" t="s">
        <v>131</v>
      </c>
      <c r="F339" s="103" t="s">
        <v>641</v>
      </c>
      <c r="G339" s="96" t="s">
        <v>93</v>
      </c>
      <c r="H339" s="96" t="s">
        <v>133</v>
      </c>
      <c r="I339" s="96">
        <v>2024</v>
      </c>
      <c r="J339" s="96">
        <v>14098</v>
      </c>
      <c r="K339" s="141">
        <v>213356</v>
      </c>
      <c r="L339" s="229" t="s">
        <v>480</v>
      </c>
      <c r="M339" s="100" t="s">
        <v>163</v>
      </c>
      <c r="N339" s="110">
        <v>213356</v>
      </c>
      <c r="O339" s="110">
        <v>196023</v>
      </c>
      <c r="P339" s="110">
        <f t="shared" si="7"/>
        <v>0</v>
      </c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0"/>
    </row>
    <row r="340" spans="1:28" ht="24">
      <c r="A340" s="231">
        <v>40047389</v>
      </c>
      <c r="B340" s="102" t="s">
        <v>578</v>
      </c>
      <c r="C340" s="98" t="s">
        <v>27</v>
      </c>
      <c r="E340" s="96" t="s">
        <v>131</v>
      </c>
      <c r="F340" s="216" t="s">
        <v>642</v>
      </c>
      <c r="G340" s="112" t="s">
        <v>102</v>
      </c>
      <c r="H340" s="96" t="s">
        <v>133</v>
      </c>
      <c r="I340" s="96">
        <v>2024</v>
      </c>
      <c r="J340" s="96">
        <v>14105</v>
      </c>
      <c r="K340" s="141">
        <v>416685</v>
      </c>
      <c r="L340" s="96" t="s">
        <v>643</v>
      </c>
      <c r="M340" s="100" t="s">
        <v>131</v>
      </c>
      <c r="N340" s="110">
        <v>416685</v>
      </c>
      <c r="O340" s="110">
        <v>416685</v>
      </c>
      <c r="P340" s="110">
        <f t="shared" si="7"/>
        <v>128881.89199999999</v>
      </c>
      <c r="Q340" s="110"/>
      <c r="R340" s="110"/>
      <c r="S340" s="110"/>
      <c r="T340" s="110"/>
      <c r="U340" s="110">
        <v>58173.059000000001</v>
      </c>
      <c r="V340" s="110"/>
      <c r="W340" s="110">
        <v>70708.832999999999</v>
      </c>
      <c r="X340" s="110"/>
      <c r="Y340" s="110"/>
      <c r="Z340" s="110"/>
      <c r="AA340" s="110"/>
      <c r="AB340" s="269"/>
    </row>
    <row r="341" spans="1:28" ht="36">
      <c r="A341" s="231">
        <v>40045756</v>
      </c>
      <c r="B341" s="102" t="s">
        <v>578</v>
      </c>
      <c r="C341" s="98" t="s">
        <v>27</v>
      </c>
      <c r="D341" s="98" t="s">
        <v>644</v>
      </c>
      <c r="E341" s="96" t="s">
        <v>131</v>
      </c>
      <c r="F341" s="216" t="s">
        <v>645</v>
      </c>
      <c r="G341" s="112" t="s">
        <v>83</v>
      </c>
      <c r="H341" s="96" t="s">
        <v>184</v>
      </c>
      <c r="I341" s="96">
        <v>2024</v>
      </c>
      <c r="J341" s="96">
        <v>14130</v>
      </c>
      <c r="K341" s="141">
        <v>4970157</v>
      </c>
      <c r="L341" s="96" t="s">
        <v>156</v>
      </c>
      <c r="M341" s="100" t="s">
        <v>266</v>
      </c>
      <c r="N341" s="110">
        <v>100000</v>
      </c>
      <c r="O341" s="110">
        <v>46005</v>
      </c>
      <c r="P341" s="110">
        <f t="shared" si="7"/>
        <v>0</v>
      </c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A341" s="110"/>
      <c r="AB341" s="110"/>
    </row>
    <row r="342" spans="1:28" ht="36">
      <c r="A342" s="231">
        <v>40058167</v>
      </c>
      <c r="B342" s="102">
        <v>29</v>
      </c>
      <c r="C342" s="98" t="s">
        <v>27</v>
      </c>
      <c r="E342" s="96" t="s">
        <v>131</v>
      </c>
      <c r="F342" s="216" t="s">
        <v>646</v>
      </c>
      <c r="G342" s="112" t="s">
        <v>102</v>
      </c>
      <c r="H342" s="96" t="s">
        <v>149</v>
      </c>
      <c r="I342" s="96">
        <v>2024</v>
      </c>
      <c r="J342" s="96">
        <v>14137</v>
      </c>
      <c r="K342" s="141">
        <v>394222</v>
      </c>
      <c r="L342" s="96" t="s">
        <v>385</v>
      </c>
      <c r="M342" s="100" t="s">
        <v>266</v>
      </c>
      <c r="N342" s="110"/>
      <c r="O342" s="110">
        <v>50000</v>
      </c>
      <c r="P342" s="110">
        <f t="shared" si="7"/>
        <v>0</v>
      </c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  <c r="AA342" s="110"/>
      <c r="AB342" s="110"/>
    </row>
    <row r="343" spans="1:28" ht="48">
      <c r="A343" s="102">
        <v>40070976</v>
      </c>
      <c r="B343" s="102">
        <v>24</v>
      </c>
      <c r="C343" s="226" t="s">
        <v>25</v>
      </c>
      <c r="D343" s="98"/>
      <c r="E343" s="96" t="s">
        <v>131</v>
      </c>
      <c r="F343" s="103" t="s">
        <v>647</v>
      </c>
      <c r="G343" s="112" t="s">
        <v>102</v>
      </c>
      <c r="H343" s="96" t="s">
        <v>133</v>
      </c>
      <c r="I343" s="96">
        <v>2025</v>
      </c>
      <c r="J343" s="96" t="s">
        <v>1031</v>
      </c>
      <c r="K343" s="141">
        <v>719963.46499999997</v>
      </c>
      <c r="L343" s="96" t="s">
        <v>648</v>
      </c>
      <c r="M343" s="100" t="s">
        <v>266</v>
      </c>
      <c r="N343" s="110">
        <v>499702</v>
      </c>
      <c r="O343" s="110"/>
      <c r="P343" s="110">
        <f t="shared" si="7"/>
        <v>99941</v>
      </c>
      <c r="Q343" s="110"/>
      <c r="R343" s="110"/>
      <c r="S343" s="110"/>
      <c r="T343" s="110"/>
      <c r="U343" s="110"/>
      <c r="V343" s="110"/>
      <c r="W343" s="110">
        <v>99941</v>
      </c>
      <c r="X343" s="110"/>
      <c r="Y343" s="110"/>
      <c r="Z343" s="110"/>
      <c r="AA343" s="110"/>
      <c r="AB343" s="110"/>
    </row>
    <row r="344" spans="1:28" ht="48">
      <c r="A344" s="102">
        <v>40064260</v>
      </c>
      <c r="B344" s="102">
        <v>24</v>
      </c>
      <c r="C344" s="226" t="s">
        <v>25</v>
      </c>
      <c r="D344" s="98"/>
      <c r="E344" s="96" t="s">
        <v>131</v>
      </c>
      <c r="F344" s="103" t="s">
        <v>649</v>
      </c>
      <c r="G344" s="112" t="s">
        <v>102</v>
      </c>
      <c r="H344" s="96" t="s">
        <v>133</v>
      </c>
      <c r="I344" s="96">
        <v>2024</v>
      </c>
      <c r="J344" s="96">
        <v>14150</v>
      </c>
      <c r="K344" s="141">
        <v>678656.23699999996</v>
      </c>
      <c r="L344" s="96" t="s">
        <v>648</v>
      </c>
      <c r="M344" s="100" t="s">
        <v>131</v>
      </c>
      <c r="N344" s="110">
        <v>206686</v>
      </c>
      <c r="O344" s="110"/>
      <c r="P344" s="110">
        <f t="shared" si="7"/>
        <v>206685</v>
      </c>
      <c r="Q344" s="110"/>
      <c r="R344" s="110">
        <v>206685</v>
      </c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</row>
    <row r="345" spans="1:28" ht="24">
      <c r="A345" s="231">
        <v>40055234</v>
      </c>
      <c r="B345" s="102">
        <v>31</v>
      </c>
      <c r="C345" s="98" t="s">
        <v>30</v>
      </c>
      <c r="E345" s="96" t="s">
        <v>131</v>
      </c>
      <c r="F345" s="216" t="s">
        <v>650</v>
      </c>
      <c r="G345" s="112" t="s">
        <v>84</v>
      </c>
      <c r="H345" s="114" t="s">
        <v>133</v>
      </c>
      <c r="I345" s="114">
        <v>2024</v>
      </c>
      <c r="J345" s="114">
        <v>14171</v>
      </c>
      <c r="K345" s="223">
        <v>299973</v>
      </c>
      <c r="L345" s="114" t="s">
        <v>234</v>
      </c>
      <c r="M345" s="100" t="s">
        <v>151</v>
      </c>
      <c r="N345" s="110">
        <v>1000</v>
      </c>
      <c r="O345" s="110">
        <v>72376</v>
      </c>
      <c r="P345" s="110">
        <f t="shared" si="7"/>
        <v>0</v>
      </c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A345" s="110"/>
      <c r="AB345" s="110"/>
    </row>
    <row r="346" spans="1:28" ht="36">
      <c r="A346" s="231">
        <v>40014206</v>
      </c>
      <c r="B346" s="102">
        <v>31</v>
      </c>
      <c r="C346" s="98" t="s">
        <v>30</v>
      </c>
      <c r="E346" s="96" t="s">
        <v>131</v>
      </c>
      <c r="F346" s="216" t="s">
        <v>651</v>
      </c>
      <c r="G346" s="236" t="s">
        <v>85</v>
      </c>
      <c r="H346" s="96" t="s">
        <v>182</v>
      </c>
      <c r="I346" s="96">
        <v>2024</v>
      </c>
      <c r="J346" s="96">
        <v>14171</v>
      </c>
      <c r="K346" s="141">
        <v>2524334</v>
      </c>
      <c r="L346" s="96" t="s">
        <v>487</v>
      </c>
      <c r="M346" s="100" t="s">
        <v>266</v>
      </c>
      <c r="N346" s="110">
        <v>1000</v>
      </c>
      <c r="O346" s="110">
        <v>120000</v>
      </c>
      <c r="P346" s="110">
        <f t="shared" si="7"/>
        <v>0</v>
      </c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</row>
    <row r="347" spans="1:28" ht="24">
      <c r="A347" s="231">
        <v>30392032</v>
      </c>
      <c r="B347" s="102">
        <v>31</v>
      </c>
      <c r="C347" s="98" t="s">
        <v>30</v>
      </c>
      <c r="E347" s="96" t="s">
        <v>131</v>
      </c>
      <c r="F347" s="216" t="s">
        <v>652</v>
      </c>
      <c r="G347" s="236" t="s">
        <v>97</v>
      </c>
      <c r="H347" s="96" t="s">
        <v>211</v>
      </c>
      <c r="I347" s="96">
        <v>2024</v>
      </c>
      <c r="J347" s="96">
        <v>14171</v>
      </c>
      <c r="K347" s="141">
        <v>433033</v>
      </c>
      <c r="L347" s="96" t="s">
        <v>150</v>
      </c>
      <c r="M347" s="100" t="s">
        <v>151</v>
      </c>
      <c r="N347" s="110">
        <v>1000</v>
      </c>
      <c r="O347" s="110">
        <v>120705</v>
      </c>
      <c r="P347" s="110">
        <f t="shared" ref="P347:P390" si="8">SUM(Q347:AB347)</f>
        <v>0</v>
      </c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A347" s="110"/>
      <c r="AB347" s="110"/>
    </row>
    <row r="348" spans="1:28" ht="36">
      <c r="A348" s="231">
        <v>40071416</v>
      </c>
      <c r="B348" s="102">
        <v>22</v>
      </c>
      <c r="C348" s="98" t="s">
        <v>653</v>
      </c>
      <c r="D348" s="235"/>
      <c r="E348" s="96" t="s">
        <v>131</v>
      </c>
      <c r="F348" s="216" t="s">
        <v>654</v>
      </c>
      <c r="G348" s="236" t="s">
        <v>102</v>
      </c>
      <c r="H348" s="96" t="s">
        <v>133</v>
      </c>
      <c r="I348" s="96">
        <v>2025</v>
      </c>
      <c r="J348" s="96">
        <v>14908</v>
      </c>
      <c r="K348" s="141">
        <v>120566</v>
      </c>
      <c r="L348" s="96" t="s">
        <v>214</v>
      </c>
      <c r="M348" s="100" t="s">
        <v>338</v>
      </c>
      <c r="N348" s="237">
        <v>0</v>
      </c>
      <c r="O348" s="110">
        <v>50000</v>
      </c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  <c r="AA348" s="110"/>
      <c r="AB348" s="110"/>
    </row>
    <row r="349" spans="1:28" ht="24">
      <c r="A349" s="102">
        <v>40065411</v>
      </c>
      <c r="B349" s="102">
        <v>22</v>
      </c>
      <c r="C349" s="98" t="s">
        <v>653</v>
      </c>
      <c r="D349" s="235"/>
      <c r="E349" s="96" t="s">
        <v>131</v>
      </c>
      <c r="F349" s="103" t="s">
        <v>655</v>
      </c>
      <c r="G349" s="236" t="s">
        <v>102</v>
      </c>
      <c r="H349" s="96" t="s">
        <v>182</v>
      </c>
      <c r="I349" s="96">
        <v>2024</v>
      </c>
      <c r="J349" s="96">
        <v>14174</v>
      </c>
      <c r="K349" s="141">
        <v>180000</v>
      </c>
      <c r="L349" s="96" t="s">
        <v>214</v>
      </c>
      <c r="M349" s="100" t="s">
        <v>338</v>
      </c>
      <c r="N349" s="237">
        <v>180000</v>
      </c>
      <c r="O349" s="110">
        <v>50000</v>
      </c>
      <c r="P349" s="110">
        <f t="shared" si="8"/>
        <v>0</v>
      </c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  <c r="AA349" s="110"/>
      <c r="AB349" s="110"/>
    </row>
    <row r="350" spans="1:28" ht="36">
      <c r="A350" s="231">
        <v>40064334</v>
      </c>
      <c r="B350" s="102">
        <v>24</v>
      </c>
      <c r="C350" s="98" t="s">
        <v>27</v>
      </c>
      <c r="E350" s="96" t="s">
        <v>131</v>
      </c>
      <c r="F350" s="216" t="s">
        <v>656</v>
      </c>
      <c r="G350" s="236" t="s">
        <v>102</v>
      </c>
      <c r="H350" s="96" t="s">
        <v>182</v>
      </c>
      <c r="I350" s="96">
        <v>2024</v>
      </c>
      <c r="J350" s="96">
        <v>14175</v>
      </c>
      <c r="K350" s="141">
        <v>194000</v>
      </c>
      <c r="L350" s="96" t="s">
        <v>346</v>
      </c>
      <c r="M350" s="100" t="s">
        <v>488</v>
      </c>
      <c r="N350" s="110"/>
      <c r="O350" s="110"/>
      <c r="P350" s="110">
        <f t="shared" si="8"/>
        <v>0</v>
      </c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</row>
    <row r="351" spans="1:28" ht="36">
      <c r="A351" s="231">
        <v>40064855</v>
      </c>
      <c r="B351" s="217" t="s">
        <v>578</v>
      </c>
      <c r="C351" s="98" t="s">
        <v>25</v>
      </c>
      <c r="E351" s="96" t="s">
        <v>131</v>
      </c>
      <c r="F351" s="216" t="s">
        <v>657</v>
      </c>
      <c r="G351" s="236" t="s">
        <v>102</v>
      </c>
      <c r="H351" s="96" t="s">
        <v>274</v>
      </c>
      <c r="I351" s="96">
        <v>2024</v>
      </c>
      <c r="J351" s="96">
        <v>14177</v>
      </c>
      <c r="K351" s="141">
        <v>150000</v>
      </c>
      <c r="L351" s="96" t="s">
        <v>417</v>
      </c>
      <c r="M351" s="100" t="s">
        <v>338</v>
      </c>
      <c r="N351" s="110">
        <v>90000</v>
      </c>
      <c r="O351" s="110">
        <v>90000</v>
      </c>
      <c r="P351" s="110">
        <f t="shared" ref="P351:P358" si="9">SUM(Q351:AB351)</f>
        <v>0</v>
      </c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</row>
    <row r="352" spans="1:28" ht="24">
      <c r="A352" s="231">
        <v>40064873</v>
      </c>
      <c r="B352" s="217" t="s">
        <v>578</v>
      </c>
      <c r="C352" s="98" t="s">
        <v>25</v>
      </c>
      <c r="E352" s="96" t="s">
        <v>131</v>
      </c>
      <c r="F352" s="216" t="s">
        <v>658</v>
      </c>
      <c r="G352" s="236" t="s">
        <v>102</v>
      </c>
      <c r="H352" s="96" t="s">
        <v>146</v>
      </c>
      <c r="I352" s="96">
        <v>2024</v>
      </c>
      <c r="J352" s="96">
        <v>14177</v>
      </c>
      <c r="K352" s="141">
        <v>150000</v>
      </c>
      <c r="L352" s="229" t="s">
        <v>431</v>
      </c>
      <c r="M352" s="100" t="s">
        <v>338</v>
      </c>
      <c r="N352" s="110">
        <v>90000</v>
      </c>
      <c r="O352" s="110">
        <v>90000</v>
      </c>
      <c r="P352" s="110">
        <f t="shared" si="9"/>
        <v>0</v>
      </c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A352" s="110"/>
      <c r="AB352" s="110"/>
    </row>
    <row r="353" spans="1:28" ht="36">
      <c r="A353" s="231">
        <v>40064876</v>
      </c>
      <c r="B353" s="217" t="s">
        <v>578</v>
      </c>
      <c r="C353" s="98" t="s">
        <v>25</v>
      </c>
      <c r="E353" s="96" t="s">
        <v>131</v>
      </c>
      <c r="F353" s="216" t="s">
        <v>659</v>
      </c>
      <c r="G353" s="236" t="s">
        <v>102</v>
      </c>
      <c r="H353" s="96" t="s">
        <v>274</v>
      </c>
      <c r="I353" s="96">
        <v>2024</v>
      </c>
      <c r="J353" s="96">
        <v>14177</v>
      </c>
      <c r="K353" s="141">
        <v>135000</v>
      </c>
      <c r="L353" s="96" t="s">
        <v>660</v>
      </c>
      <c r="M353" s="100" t="s">
        <v>266</v>
      </c>
      <c r="N353" s="110">
        <v>81000</v>
      </c>
      <c r="O353" s="110">
        <v>81000</v>
      </c>
      <c r="P353" s="110">
        <f t="shared" si="9"/>
        <v>27000</v>
      </c>
      <c r="Q353" s="110"/>
      <c r="R353" s="110"/>
      <c r="S353" s="110"/>
      <c r="T353" s="110"/>
      <c r="U353" s="110"/>
      <c r="V353" s="110"/>
      <c r="W353" s="110">
        <v>27000</v>
      </c>
      <c r="X353" s="110"/>
      <c r="Y353" s="110"/>
      <c r="Z353" s="110"/>
      <c r="AA353" s="110"/>
      <c r="AB353" s="110"/>
    </row>
    <row r="354" spans="1:28" ht="36">
      <c r="A354" s="231">
        <v>40064880</v>
      </c>
      <c r="B354" s="217" t="s">
        <v>578</v>
      </c>
      <c r="C354" s="98" t="s">
        <v>25</v>
      </c>
      <c r="E354" s="96" t="s">
        <v>131</v>
      </c>
      <c r="F354" s="216" t="s">
        <v>661</v>
      </c>
      <c r="G354" s="236" t="s">
        <v>102</v>
      </c>
      <c r="H354" s="96" t="s">
        <v>184</v>
      </c>
      <c r="I354" s="96">
        <v>2024</v>
      </c>
      <c r="J354" s="96">
        <v>14177</v>
      </c>
      <c r="K354" s="141">
        <v>150000</v>
      </c>
      <c r="L354" s="96" t="s">
        <v>393</v>
      </c>
      <c r="M354" s="100" t="s">
        <v>338</v>
      </c>
      <c r="N354" s="110">
        <v>90000</v>
      </c>
      <c r="O354" s="110">
        <v>90000</v>
      </c>
      <c r="P354" s="110">
        <f t="shared" si="9"/>
        <v>0</v>
      </c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</row>
    <row r="355" spans="1:28" ht="21" customHeight="1">
      <c r="A355" s="231">
        <v>40064857</v>
      </c>
      <c r="B355" s="217" t="s">
        <v>578</v>
      </c>
      <c r="C355" s="98" t="s">
        <v>25</v>
      </c>
      <c r="E355" s="96" t="s">
        <v>131</v>
      </c>
      <c r="F355" s="216" t="s">
        <v>662</v>
      </c>
      <c r="G355" s="236" t="s">
        <v>102</v>
      </c>
      <c r="H355" s="96" t="s">
        <v>308</v>
      </c>
      <c r="I355" s="96">
        <v>2024</v>
      </c>
      <c r="J355" s="96">
        <v>14177</v>
      </c>
      <c r="K355" s="141">
        <v>149983</v>
      </c>
      <c r="L355" s="96" t="s">
        <v>663</v>
      </c>
      <c r="M355" s="100" t="s">
        <v>338</v>
      </c>
      <c r="N355" s="110">
        <v>89989</v>
      </c>
      <c r="O355" s="110">
        <v>89989</v>
      </c>
      <c r="P355" s="110">
        <f t="shared" si="9"/>
        <v>0</v>
      </c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</row>
    <row r="356" spans="1:28" ht="36">
      <c r="A356" s="231">
        <v>40064858</v>
      </c>
      <c r="B356" s="217" t="s">
        <v>578</v>
      </c>
      <c r="C356" s="98" t="s">
        <v>25</v>
      </c>
      <c r="E356" s="96" t="s">
        <v>131</v>
      </c>
      <c r="F356" s="216" t="s">
        <v>664</v>
      </c>
      <c r="G356" s="236" t="s">
        <v>102</v>
      </c>
      <c r="H356" s="96" t="s">
        <v>274</v>
      </c>
      <c r="I356" s="96">
        <v>2024</v>
      </c>
      <c r="J356" s="96">
        <v>14177</v>
      </c>
      <c r="K356" s="141">
        <v>149746</v>
      </c>
      <c r="L356" s="96" t="s">
        <v>417</v>
      </c>
      <c r="M356" s="100" t="s">
        <v>338</v>
      </c>
      <c r="N356" s="110">
        <v>89247</v>
      </c>
      <c r="O356" s="110">
        <v>89247</v>
      </c>
      <c r="P356" s="110">
        <f t="shared" si="9"/>
        <v>0</v>
      </c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  <c r="AA356" s="110"/>
      <c r="AB356" s="110"/>
    </row>
    <row r="357" spans="1:28" ht="24">
      <c r="A357" s="231">
        <v>40064890</v>
      </c>
      <c r="B357" s="217" t="s">
        <v>578</v>
      </c>
      <c r="C357" s="98" t="s">
        <v>25</v>
      </c>
      <c r="E357" s="96" t="s">
        <v>131</v>
      </c>
      <c r="F357" s="216" t="s">
        <v>665</v>
      </c>
      <c r="G357" s="236" t="s">
        <v>102</v>
      </c>
      <c r="H357" s="96" t="s">
        <v>146</v>
      </c>
      <c r="I357" s="96">
        <v>2024</v>
      </c>
      <c r="J357" s="96">
        <v>14177</v>
      </c>
      <c r="K357" s="141">
        <v>150000</v>
      </c>
      <c r="L357" s="229" t="s">
        <v>431</v>
      </c>
      <c r="M357" s="100" t="s">
        <v>338</v>
      </c>
      <c r="N357" s="110">
        <v>90000</v>
      </c>
      <c r="O357" s="110">
        <v>90000</v>
      </c>
      <c r="P357" s="110">
        <f t="shared" si="9"/>
        <v>0</v>
      </c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  <c r="AA357" s="110"/>
      <c r="AB357" s="110"/>
    </row>
    <row r="358" spans="1:28" ht="24">
      <c r="A358" s="231">
        <v>40064892</v>
      </c>
      <c r="B358" s="217" t="s">
        <v>578</v>
      </c>
      <c r="C358" s="98" t="s">
        <v>25</v>
      </c>
      <c r="E358" s="96" t="s">
        <v>131</v>
      </c>
      <c r="F358" s="216" t="s">
        <v>666</v>
      </c>
      <c r="G358" s="236" t="s">
        <v>102</v>
      </c>
      <c r="H358" s="96" t="s">
        <v>146</v>
      </c>
      <c r="I358" s="96">
        <v>2024</v>
      </c>
      <c r="J358" s="96">
        <v>14177</v>
      </c>
      <c r="K358" s="141">
        <v>150000</v>
      </c>
      <c r="L358" s="229" t="s">
        <v>431</v>
      </c>
      <c r="M358" s="100" t="s">
        <v>338</v>
      </c>
      <c r="N358" s="110">
        <v>90000</v>
      </c>
      <c r="O358" s="110">
        <v>90000</v>
      </c>
      <c r="P358" s="110">
        <f t="shared" si="9"/>
        <v>0</v>
      </c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  <c r="AA358" s="110"/>
      <c r="AB358" s="110"/>
    </row>
    <row r="359" spans="1:28" ht="24">
      <c r="A359" s="231">
        <v>40064862</v>
      </c>
      <c r="B359" s="217" t="s">
        <v>578</v>
      </c>
      <c r="C359" s="98" t="s">
        <v>27</v>
      </c>
      <c r="E359" s="96" t="s">
        <v>131</v>
      </c>
      <c r="F359" s="216" t="s">
        <v>667</v>
      </c>
      <c r="G359" s="236" t="s">
        <v>102</v>
      </c>
      <c r="H359" s="96" t="s">
        <v>184</v>
      </c>
      <c r="I359" s="96">
        <v>2024</v>
      </c>
      <c r="J359" s="96">
        <v>14177</v>
      </c>
      <c r="K359" s="141">
        <v>149750</v>
      </c>
      <c r="L359" s="96" t="s">
        <v>668</v>
      </c>
      <c r="M359" s="100" t="s">
        <v>338</v>
      </c>
      <c r="N359" s="110">
        <v>89850</v>
      </c>
      <c r="O359" s="110">
        <v>89850</v>
      </c>
      <c r="P359" s="110">
        <f t="shared" si="8"/>
        <v>0</v>
      </c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A359" s="110"/>
      <c r="AB359" s="110"/>
    </row>
    <row r="360" spans="1:28" ht="36">
      <c r="A360" s="231">
        <v>40064893</v>
      </c>
      <c r="B360" s="217" t="s">
        <v>578</v>
      </c>
      <c r="C360" s="98" t="s">
        <v>25</v>
      </c>
      <c r="E360" s="96" t="s">
        <v>131</v>
      </c>
      <c r="F360" s="216" t="s">
        <v>669</v>
      </c>
      <c r="G360" s="236" t="s">
        <v>102</v>
      </c>
      <c r="H360" s="96" t="s">
        <v>274</v>
      </c>
      <c r="I360" s="96">
        <v>2024</v>
      </c>
      <c r="J360" s="96">
        <v>14177</v>
      </c>
      <c r="K360" s="141">
        <v>135000</v>
      </c>
      <c r="L360" s="96" t="s">
        <v>417</v>
      </c>
      <c r="M360" s="100" t="s">
        <v>338</v>
      </c>
      <c r="N360" s="110">
        <v>81000</v>
      </c>
      <c r="O360" s="110">
        <v>81000</v>
      </c>
      <c r="P360" s="110">
        <f t="shared" ref="P360" si="10">SUM(Q360:AB360)</f>
        <v>0</v>
      </c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A360" s="110"/>
      <c r="AB360" s="110"/>
    </row>
    <row r="361" spans="1:28" ht="24">
      <c r="A361" s="231">
        <v>40064864</v>
      </c>
      <c r="B361" s="217" t="s">
        <v>578</v>
      </c>
      <c r="C361" s="98" t="s">
        <v>27</v>
      </c>
      <c r="E361" s="96" t="s">
        <v>131</v>
      </c>
      <c r="F361" s="216" t="s">
        <v>670</v>
      </c>
      <c r="G361" s="236" t="s">
        <v>102</v>
      </c>
      <c r="H361" s="96" t="s">
        <v>184</v>
      </c>
      <c r="I361" s="96">
        <v>2024</v>
      </c>
      <c r="J361" s="96">
        <v>14177</v>
      </c>
      <c r="K361" s="141">
        <v>150000</v>
      </c>
      <c r="L361" s="96" t="s">
        <v>668</v>
      </c>
      <c r="M361" s="100" t="s">
        <v>338</v>
      </c>
      <c r="N361" s="110">
        <v>90000</v>
      </c>
      <c r="O361" s="110">
        <v>90000</v>
      </c>
      <c r="P361" s="110">
        <f t="shared" si="8"/>
        <v>0</v>
      </c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A361" s="110"/>
      <c r="AB361" s="110"/>
    </row>
    <row r="362" spans="1:28" ht="24">
      <c r="A362" s="231">
        <v>40064894</v>
      </c>
      <c r="B362" s="217" t="s">
        <v>578</v>
      </c>
      <c r="C362" s="98" t="s">
        <v>25</v>
      </c>
      <c r="E362" s="96" t="s">
        <v>131</v>
      </c>
      <c r="F362" s="216" t="s">
        <v>671</v>
      </c>
      <c r="G362" s="236" t="s">
        <v>102</v>
      </c>
      <c r="H362" s="96" t="s">
        <v>146</v>
      </c>
      <c r="I362" s="96">
        <v>2024</v>
      </c>
      <c r="J362" s="96">
        <v>14177</v>
      </c>
      <c r="K362" s="141">
        <v>150000</v>
      </c>
      <c r="L362" s="229" t="s">
        <v>431</v>
      </c>
      <c r="M362" s="100" t="s">
        <v>338</v>
      </c>
      <c r="N362" s="110">
        <v>90000</v>
      </c>
      <c r="O362" s="110">
        <v>90000</v>
      </c>
      <c r="P362" s="110">
        <f t="shared" ref="P362" si="11">SUM(Q362:AB362)</f>
        <v>0</v>
      </c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  <c r="AA362" s="110"/>
      <c r="AB362" s="110"/>
    </row>
    <row r="363" spans="1:28" ht="36">
      <c r="A363" s="231">
        <v>40064868</v>
      </c>
      <c r="B363" s="217" t="s">
        <v>578</v>
      </c>
      <c r="C363" s="98" t="s">
        <v>27</v>
      </c>
      <c r="E363" s="96" t="s">
        <v>131</v>
      </c>
      <c r="F363" s="216" t="s">
        <v>672</v>
      </c>
      <c r="G363" s="236" t="s">
        <v>102</v>
      </c>
      <c r="H363" s="96" t="s">
        <v>274</v>
      </c>
      <c r="I363" s="96">
        <v>2024</v>
      </c>
      <c r="J363" s="96">
        <v>14177</v>
      </c>
      <c r="K363" s="141">
        <v>148800</v>
      </c>
      <c r="L363" s="96" t="s">
        <v>668</v>
      </c>
      <c r="M363" s="100" t="s">
        <v>338</v>
      </c>
      <c r="N363" s="110">
        <v>89280</v>
      </c>
      <c r="O363" s="110">
        <v>89280</v>
      </c>
      <c r="P363" s="110">
        <f t="shared" si="8"/>
        <v>0</v>
      </c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A363" s="110"/>
      <c r="AB363" s="110"/>
    </row>
    <row r="364" spans="1:28" ht="36">
      <c r="A364" s="231">
        <v>40064896</v>
      </c>
      <c r="B364" s="217" t="s">
        <v>578</v>
      </c>
      <c r="C364" s="98" t="s">
        <v>25</v>
      </c>
      <c r="E364" s="96" t="s">
        <v>131</v>
      </c>
      <c r="F364" s="216" t="s">
        <v>673</v>
      </c>
      <c r="G364" s="236" t="s">
        <v>102</v>
      </c>
      <c r="H364" s="96" t="s">
        <v>274</v>
      </c>
      <c r="I364" s="96">
        <v>2024</v>
      </c>
      <c r="J364" s="96">
        <v>14177</v>
      </c>
      <c r="K364" s="141">
        <v>150000</v>
      </c>
      <c r="L364" s="96" t="s">
        <v>674</v>
      </c>
      <c r="M364" s="100" t="s">
        <v>338</v>
      </c>
      <c r="N364" s="110">
        <v>90000</v>
      </c>
      <c r="O364" s="110">
        <v>90000</v>
      </c>
      <c r="P364" s="110">
        <f t="shared" ref="P364" si="12">SUM(Q364:AB364)</f>
        <v>0</v>
      </c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  <c r="AA364" s="110"/>
      <c r="AB364" s="110"/>
    </row>
    <row r="365" spans="1:28" ht="36">
      <c r="A365" s="231">
        <v>40064869</v>
      </c>
      <c r="B365" s="217" t="s">
        <v>578</v>
      </c>
      <c r="C365" s="98" t="s">
        <v>27</v>
      </c>
      <c r="E365" s="96" t="s">
        <v>131</v>
      </c>
      <c r="F365" s="216" t="s">
        <v>675</v>
      </c>
      <c r="G365" s="236" t="s">
        <v>102</v>
      </c>
      <c r="H365" s="96" t="s">
        <v>274</v>
      </c>
      <c r="I365" s="96">
        <v>2024</v>
      </c>
      <c r="J365" s="96">
        <v>14177</v>
      </c>
      <c r="K365" s="141">
        <v>149100</v>
      </c>
      <c r="L365" s="96" t="s">
        <v>668</v>
      </c>
      <c r="M365" s="100" t="s">
        <v>338</v>
      </c>
      <c r="N365" s="110">
        <v>89460</v>
      </c>
      <c r="O365" s="110">
        <v>89460</v>
      </c>
      <c r="P365" s="110">
        <f t="shared" si="8"/>
        <v>0</v>
      </c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  <c r="AA365" s="110"/>
      <c r="AB365" s="110"/>
    </row>
    <row r="366" spans="1:28" ht="36">
      <c r="A366" s="231">
        <v>40064871</v>
      </c>
      <c r="B366" s="217" t="s">
        <v>578</v>
      </c>
      <c r="C366" s="98" t="s">
        <v>27</v>
      </c>
      <c r="E366" s="96" t="s">
        <v>131</v>
      </c>
      <c r="F366" s="216" t="s">
        <v>676</v>
      </c>
      <c r="G366" s="236" t="s">
        <v>102</v>
      </c>
      <c r="H366" s="96" t="s">
        <v>274</v>
      </c>
      <c r="I366" s="96">
        <v>2024</v>
      </c>
      <c r="J366" s="96">
        <v>14177</v>
      </c>
      <c r="K366" s="141">
        <v>150000</v>
      </c>
      <c r="L366" s="96" t="s">
        <v>668</v>
      </c>
      <c r="M366" s="100" t="s">
        <v>338</v>
      </c>
      <c r="N366" s="110">
        <v>90000</v>
      </c>
      <c r="O366" s="110">
        <v>90000</v>
      </c>
      <c r="P366" s="110">
        <f t="shared" si="8"/>
        <v>0</v>
      </c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  <c r="AA366" s="110"/>
      <c r="AB366" s="110"/>
    </row>
    <row r="367" spans="1:28" ht="36">
      <c r="A367" s="231">
        <v>40074043</v>
      </c>
      <c r="B367" s="98" t="s">
        <v>580</v>
      </c>
      <c r="C367" s="98" t="s">
        <v>25</v>
      </c>
      <c r="E367" s="221" t="s">
        <v>131</v>
      </c>
      <c r="F367" s="216" t="s">
        <v>1037</v>
      </c>
      <c r="G367" s="112" t="s">
        <v>102</v>
      </c>
      <c r="H367" s="96" t="s">
        <v>274</v>
      </c>
      <c r="I367" s="96">
        <v>2025</v>
      </c>
      <c r="J367" s="96">
        <v>15330</v>
      </c>
      <c r="K367" s="141">
        <v>796176</v>
      </c>
      <c r="L367" s="96" t="s">
        <v>393</v>
      </c>
      <c r="M367" s="100" t="s">
        <v>361</v>
      </c>
      <c r="N367" s="110">
        <v>796187</v>
      </c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A367" s="110"/>
      <c r="AB367" s="110"/>
    </row>
    <row r="368" spans="1:28" ht="60">
      <c r="A368" s="102">
        <v>40064773</v>
      </c>
      <c r="B368" s="98" t="s">
        <v>580</v>
      </c>
      <c r="C368" s="98" t="s">
        <v>25</v>
      </c>
      <c r="D368" s="98"/>
      <c r="E368" s="221" t="s">
        <v>131</v>
      </c>
      <c r="F368" s="216" t="s">
        <v>677</v>
      </c>
      <c r="G368" s="236" t="s">
        <v>102</v>
      </c>
      <c r="H368" s="96" t="s">
        <v>133</v>
      </c>
      <c r="I368" s="96">
        <v>2024</v>
      </c>
      <c r="J368" s="96">
        <v>14217</v>
      </c>
      <c r="K368" s="141">
        <v>1247460.9240000001</v>
      </c>
      <c r="L368" s="96" t="s">
        <v>393</v>
      </c>
      <c r="M368" s="100" t="s">
        <v>131</v>
      </c>
      <c r="N368" s="110">
        <v>517976</v>
      </c>
      <c r="O368" s="110"/>
      <c r="P368" s="110">
        <f t="shared" si="8"/>
        <v>517976</v>
      </c>
      <c r="Q368" s="110"/>
      <c r="R368" s="110">
        <v>517976</v>
      </c>
      <c r="S368" s="110"/>
      <c r="T368" s="110"/>
      <c r="U368" s="110"/>
      <c r="V368" s="110"/>
      <c r="W368" s="110"/>
      <c r="X368" s="110"/>
      <c r="Y368" s="110"/>
      <c r="Z368" s="110"/>
      <c r="AA368" s="110"/>
      <c r="AB368" s="110"/>
    </row>
    <row r="369" spans="1:28" ht="24">
      <c r="A369" s="231">
        <v>40055887</v>
      </c>
      <c r="B369" s="217" t="s">
        <v>523</v>
      </c>
      <c r="C369" s="98" t="s">
        <v>27</v>
      </c>
      <c r="E369" s="96" t="s">
        <v>131</v>
      </c>
      <c r="F369" s="216" t="s">
        <v>678</v>
      </c>
      <c r="G369" s="236" t="s">
        <v>89</v>
      </c>
      <c r="H369" s="96" t="s">
        <v>133</v>
      </c>
      <c r="I369" s="96">
        <v>2024</v>
      </c>
      <c r="J369" s="96">
        <v>14220</v>
      </c>
      <c r="K369" s="141">
        <v>136850</v>
      </c>
      <c r="L369" s="229" t="s">
        <v>480</v>
      </c>
      <c r="M369" s="100" t="s">
        <v>165</v>
      </c>
      <c r="N369" s="110"/>
      <c r="O369" s="110"/>
      <c r="P369" s="110">
        <f t="shared" si="8"/>
        <v>0</v>
      </c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A369" s="110"/>
      <c r="AB369" s="110"/>
    </row>
    <row r="370" spans="1:28" ht="24">
      <c r="A370" s="231">
        <v>40046209</v>
      </c>
      <c r="B370" s="217">
        <v>31</v>
      </c>
      <c r="C370" s="98" t="s">
        <v>30</v>
      </c>
      <c r="E370" s="96" t="s">
        <v>131</v>
      </c>
      <c r="F370" s="252" t="s">
        <v>679</v>
      </c>
      <c r="G370" s="236" t="s">
        <v>91</v>
      </c>
      <c r="H370" s="96" t="s">
        <v>153</v>
      </c>
      <c r="I370" s="96">
        <v>2024</v>
      </c>
      <c r="J370" s="96">
        <v>14246</v>
      </c>
      <c r="K370" s="141">
        <v>620790</v>
      </c>
      <c r="L370" s="96" t="s">
        <v>158</v>
      </c>
      <c r="M370" s="100" t="s">
        <v>151</v>
      </c>
      <c r="N370" s="110">
        <v>1000</v>
      </c>
      <c r="O370" s="110">
        <v>57183</v>
      </c>
      <c r="P370" s="110">
        <f t="shared" si="8"/>
        <v>0</v>
      </c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  <c r="AA370" s="110"/>
      <c r="AB370" s="110"/>
    </row>
    <row r="371" spans="1:28" ht="36">
      <c r="A371" s="231">
        <v>40046616</v>
      </c>
      <c r="B371" s="217">
        <v>33</v>
      </c>
      <c r="C371" s="98" t="s">
        <v>27</v>
      </c>
      <c r="E371" s="96" t="s">
        <v>131</v>
      </c>
      <c r="F371" s="241" t="s">
        <v>680</v>
      </c>
      <c r="G371" s="236" t="s">
        <v>102</v>
      </c>
      <c r="H371" s="96" t="s">
        <v>182</v>
      </c>
      <c r="I371" s="96">
        <v>2024</v>
      </c>
      <c r="J371" s="96">
        <v>14255</v>
      </c>
      <c r="K371" s="141">
        <v>400000</v>
      </c>
      <c r="L371" s="96" t="s">
        <v>346</v>
      </c>
      <c r="M371" s="100" t="s">
        <v>170</v>
      </c>
      <c r="N371" s="110">
        <v>400000</v>
      </c>
      <c r="O371" s="110">
        <v>400000</v>
      </c>
      <c r="P371" s="110">
        <f t="shared" si="8"/>
        <v>0</v>
      </c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A371" s="110"/>
      <c r="AB371" s="110"/>
    </row>
    <row r="372" spans="1:28" ht="48">
      <c r="A372" s="231">
        <v>40058908</v>
      </c>
      <c r="B372" s="217">
        <v>33</v>
      </c>
      <c r="C372" s="98" t="s">
        <v>27</v>
      </c>
      <c r="E372" s="96" t="s">
        <v>131</v>
      </c>
      <c r="F372" s="241" t="s">
        <v>681</v>
      </c>
      <c r="G372" s="236" t="s">
        <v>102</v>
      </c>
      <c r="H372" s="96" t="s">
        <v>274</v>
      </c>
      <c r="I372" s="96">
        <v>2024</v>
      </c>
      <c r="J372" s="96">
        <v>14262</v>
      </c>
      <c r="K372" s="141">
        <v>300000</v>
      </c>
      <c r="L372" s="96" t="s">
        <v>682</v>
      </c>
      <c r="M372" s="100" t="s">
        <v>131</v>
      </c>
      <c r="N372" s="110">
        <v>300000</v>
      </c>
      <c r="O372" s="110">
        <v>300000</v>
      </c>
      <c r="P372" s="110">
        <f t="shared" si="8"/>
        <v>0</v>
      </c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  <c r="AA372" s="110"/>
      <c r="AB372" s="110"/>
    </row>
    <row r="373" spans="1:28" ht="36">
      <c r="A373" s="231">
        <v>40057842</v>
      </c>
      <c r="B373" s="217">
        <v>33</v>
      </c>
      <c r="C373" s="98" t="s">
        <v>27</v>
      </c>
      <c r="E373" s="96" t="s">
        <v>131</v>
      </c>
      <c r="F373" s="241" t="s">
        <v>683</v>
      </c>
      <c r="G373" s="236" t="s">
        <v>102</v>
      </c>
      <c r="H373" s="96" t="s">
        <v>274</v>
      </c>
      <c r="I373" s="96">
        <v>2024</v>
      </c>
      <c r="J373" s="96">
        <v>14286</v>
      </c>
      <c r="K373" s="141">
        <v>2905494</v>
      </c>
      <c r="L373" s="96" t="s">
        <v>417</v>
      </c>
      <c r="M373" s="100" t="s">
        <v>170</v>
      </c>
      <c r="N373" s="110"/>
      <c r="O373" s="110"/>
      <c r="P373" s="110">
        <f t="shared" si="8"/>
        <v>0</v>
      </c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10"/>
    </row>
    <row r="374" spans="1:28" ht="36">
      <c r="A374" s="231">
        <v>40048140</v>
      </c>
      <c r="B374" s="217">
        <v>29</v>
      </c>
      <c r="C374" s="98" t="s">
        <v>27</v>
      </c>
      <c r="E374" s="96" t="s">
        <v>131</v>
      </c>
      <c r="F374" s="241" t="s">
        <v>684</v>
      </c>
      <c r="G374" s="236" t="s">
        <v>102</v>
      </c>
      <c r="H374" s="96" t="s">
        <v>149</v>
      </c>
      <c r="I374" s="96">
        <v>2024</v>
      </c>
      <c r="J374" s="96">
        <v>14296</v>
      </c>
      <c r="K374" s="141">
        <v>1098251</v>
      </c>
      <c r="L374" s="96" t="s">
        <v>385</v>
      </c>
      <c r="M374" s="100" t="s">
        <v>266</v>
      </c>
      <c r="N374" s="110"/>
      <c r="O374" s="110">
        <v>25000</v>
      </c>
      <c r="P374" s="110">
        <f t="shared" si="8"/>
        <v>0</v>
      </c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  <c r="AA374" s="110"/>
      <c r="AB374" s="110"/>
    </row>
    <row r="375" spans="1:28" ht="36">
      <c r="A375" s="231">
        <v>40048325</v>
      </c>
      <c r="B375" s="217">
        <v>29</v>
      </c>
      <c r="C375" s="98" t="s">
        <v>27</v>
      </c>
      <c r="E375" s="96" t="s">
        <v>131</v>
      </c>
      <c r="F375" s="241" t="s">
        <v>685</v>
      </c>
      <c r="G375" s="236" t="s">
        <v>98</v>
      </c>
      <c r="H375" s="96" t="s">
        <v>133</v>
      </c>
      <c r="I375" s="96">
        <v>2024</v>
      </c>
      <c r="J375" s="96">
        <v>14297</v>
      </c>
      <c r="K375" s="141">
        <v>334075</v>
      </c>
      <c r="L375" s="229" t="s">
        <v>480</v>
      </c>
      <c r="M375" s="100" t="s">
        <v>151</v>
      </c>
      <c r="N375" s="110">
        <v>1000</v>
      </c>
      <c r="O375" s="110">
        <v>1000</v>
      </c>
      <c r="P375" s="110">
        <f t="shared" si="8"/>
        <v>0</v>
      </c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A375" s="110"/>
      <c r="AB375" s="110"/>
    </row>
    <row r="376" spans="1:28" ht="36">
      <c r="A376" s="231">
        <v>40056498</v>
      </c>
      <c r="B376" s="217">
        <v>29</v>
      </c>
      <c r="C376" s="98" t="s">
        <v>27</v>
      </c>
      <c r="E376" s="96" t="s">
        <v>131</v>
      </c>
      <c r="F376" s="241" t="s">
        <v>686</v>
      </c>
      <c r="G376" s="236" t="s">
        <v>86</v>
      </c>
      <c r="H376" s="96" t="s">
        <v>133</v>
      </c>
      <c r="I376" s="96">
        <v>2024</v>
      </c>
      <c r="J376" s="96">
        <v>14298</v>
      </c>
      <c r="K376" s="141">
        <v>699006</v>
      </c>
      <c r="L376" s="96" t="s">
        <v>221</v>
      </c>
      <c r="M376" s="100" t="s">
        <v>266</v>
      </c>
      <c r="N376" s="110">
        <v>1000</v>
      </c>
      <c r="O376" s="110">
        <v>25000</v>
      </c>
      <c r="P376" s="110">
        <f t="shared" si="8"/>
        <v>0</v>
      </c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  <c r="AA376" s="110"/>
      <c r="AB376" s="110"/>
    </row>
    <row r="377" spans="1:28" ht="24">
      <c r="A377" s="231">
        <v>40049810</v>
      </c>
      <c r="B377" s="217" t="s">
        <v>566</v>
      </c>
      <c r="C377" s="98" t="s">
        <v>30</v>
      </c>
      <c r="E377" s="96" t="s">
        <v>131</v>
      </c>
      <c r="F377" s="241" t="s">
        <v>687</v>
      </c>
      <c r="G377" s="236" t="s">
        <v>99</v>
      </c>
      <c r="H377" s="96" t="s">
        <v>133</v>
      </c>
      <c r="I377" s="96">
        <v>2024</v>
      </c>
      <c r="J377" s="96">
        <v>14306</v>
      </c>
      <c r="K377" s="141">
        <v>7867454</v>
      </c>
      <c r="L377" s="96" t="s">
        <v>198</v>
      </c>
      <c r="M377" s="100" t="s">
        <v>338</v>
      </c>
      <c r="N377" s="110">
        <v>1000</v>
      </c>
      <c r="O377" s="110">
        <v>345700</v>
      </c>
      <c r="P377" s="110">
        <f t="shared" si="8"/>
        <v>0</v>
      </c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0"/>
    </row>
    <row r="378" spans="1:28" ht="24">
      <c r="A378" s="231">
        <v>40046278</v>
      </c>
      <c r="B378" s="217">
        <v>29</v>
      </c>
      <c r="C378" s="98" t="s">
        <v>38</v>
      </c>
      <c r="E378" s="96" t="s">
        <v>131</v>
      </c>
      <c r="F378" s="241" t="s">
        <v>688</v>
      </c>
      <c r="G378" s="261" t="s">
        <v>83</v>
      </c>
      <c r="H378" s="96" t="s">
        <v>211</v>
      </c>
      <c r="I378" s="96">
        <v>2024</v>
      </c>
      <c r="J378" s="96">
        <v>14306</v>
      </c>
      <c r="K378" s="141">
        <v>819016</v>
      </c>
      <c r="L378" s="96" t="s">
        <v>1028</v>
      </c>
      <c r="M378" s="100" t="s">
        <v>338</v>
      </c>
      <c r="N378" s="110">
        <v>1000</v>
      </c>
      <c r="O378" s="110">
        <v>50000</v>
      </c>
      <c r="P378" s="110">
        <f t="shared" si="8"/>
        <v>0</v>
      </c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</row>
    <row r="379" spans="1:28" ht="32.25" customHeight="1">
      <c r="A379" s="231">
        <v>40059551</v>
      </c>
      <c r="B379" s="217" t="s">
        <v>566</v>
      </c>
      <c r="C379" s="98" t="s">
        <v>30</v>
      </c>
      <c r="E379" s="96" t="s">
        <v>131</v>
      </c>
      <c r="F379" s="241" t="s">
        <v>689</v>
      </c>
      <c r="G379" s="261" t="s">
        <v>83</v>
      </c>
      <c r="H379" s="96" t="s">
        <v>149</v>
      </c>
      <c r="I379" s="96">
        <v>2024</v>
      </c>
      <c r="J379" s="96">
        <v>14306</v>
      </c>
      <c r="K379" s="141">
        <v>212407</v>
      </c>
      <c r="L379" s="96" t="s">
        <v>134</v>
      </c>
      <c r="M379" s="100" t="s">
        <v>151</v>
      </c>
      <c r="N379" s="110">
        <v>1000</v>
      </c>
      <c r="O379" s="110">
        <v>85626</v>
      </c>
      <c r="P379" s="110">
        <f t="shared" si="8"/>
        <v>5400</v>
      </c>
      <c r="Q379" s="110"/>
      <c r="R379" s="110"/>
      <c r="S379" s="110"/>
      <c r="T379" s="110"/>
      <c r="U379" s="110"/>
      <c r="V379" s="110"/>
      <c r="W379" s="110">
        <v>5400</v>
      </c>
      <c r="X379" s="110"/>
      <c r="Y379" s="110"/>
      <c r="Z379" s="110"/>
      <c r="AA379" s="110"/>
      <c r="AB379" s="110"/>
    </row>
    <row r="380" spans="1:28" ht="36">
      <c r="A380" s="231">
        <v>40066193</v>
      </c>
      <c r="B380" s="217" t="s">
        <v>578</v>
      </c>
      <c r="C380" s="98" t="s">
        <v>27</v>
      </c>
      <c r="E380" s="96" t="s">
        <v>131</v>
      </c>
      <c r="F380" s="216" t="s">
        <v>690</v>
      </c>
      <c r="G380" s="236" t="s">
        <v>97</v>
      </c>
      <c r="H380" s="96" t="s">
        <v>140</v>
      </c>
      <c r="I380" s="96">
        <v>2024</v>
      </c>
      <c r="J380" s="96">
        <v>14315</v>
      </c>
      <c r="K380" s="141">
        <v>3040906</v>
      </c>
      <c r="L380" s="96" t="s">
        <v>487</v>
      </c>
      <c r="M380" s="100" t="s">
        <v>488</v>
      </c>
      <c r="N380" s="110"/>
      <c r="O380" s="110"/>
      <c r="P380" s="110">
        <f t="shared" si="8"/>
        <v>0</v>
      </c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  <c r="AA380" s="110"/>
      <c r="AB380" s="110"/>
    </row>
    <row r="381" spans="1:28" ht="36">
      <c r="A381" s="231">
        <v>40066219</v>
      </c>
      <c r="B381" s="217" t="s">
        <v>578</v>
      </c>
      <c r="C381" s="98" t="s">
        <v>27</v>
      </c>
      <c r="E381" s="96" t="s">
        <v>131</v>
      </c>
      <c r="F381" s="216" t="s">
        <v>691</v>
      </c>
      <c r="G381" s="236" t="s">
        <v>89</v>
      </c>
      <c r="H381" s="96" t="s">
        <v>140</v>
      </c>
      <c r="I381" s="96">
        <v>2024</v>
      </c>
      <c r="J381" s="96">
        <v>14315</v>
      </c>
      <c r="K381" s="141">
        <v>1026814</v>
      </c>
      <c r="L381" s="96" t="s">
        <v>487</v>
      </c>
      <c r="M381" s="100" t="s">
        <v>488</v>
      </c>
      <c r="N381" s="110"/>
      <c r="O381" s="110"/>
      <c r="P381" s="110">
        <f t="shared" si="8"/>
        <v>0</v>
      </c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  <c r="AA381" s="110"/>
      <c r="AB381" s="110"/>
    </row>
    <row r="382" spans="1:28" ht="30.75" customHeight="1">
      <c r="A382" s="231">
        <v>40066220</v>
      </c>
      <c r="B382" s="217">
        <v>33</v>
      </c>
      <c r="C382" s="98" t="s">
        <v>27</v>
      </c>
      <c r="E382" s="96" t="s">
        <v>131</v>
      </c>
      <c r="F382" s="216" t="s">
        <v>692</v>
      </c>
      <c r="G382" s="236" t="s">
        <v>97</v>
      </c>
      <c r="H382" s="96" t="s">
        <v>140</v>
      </c>
      <c r="I382" s="96">
        <v>2024</v>
      </c>
      <c r="J382" s="96">
        <v>14334</v>
      </c>
      <c r="K382" s="141">
        <v>2212404</v>
      </c>
      <c r="L382" s="96" t="s">
        <v>487</v>
      </c>
      <c r="M382" s="100" t="s">
        <v>488</v>
      </c>
      <c r="N382" s="110"/>
      <c r="O382" s="110"/>
      <c r="P382" s="110">
        <f t="shared" si="8"/>
        <v>0</v>
      </c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</row>
    <row r="383" spans="1:28" ht="44.25" customHeight="1">
      <c r="A383" s="231">
        <v>40054846</v>
      </c>
      <c r="B383" s="217" t="s">
        <v>578</v>
      </c>
      <c r="C383" s="217" t="s">
        <v>27</v>
      </c>
      <c r="D383" s="229"/>
      <c r="E383" s="96" t="s">
        <v>131</v>
      </c>
      <c r="F383" s="216" t="s">
        <v>693</v>
      </c>
      <c r="G383" s="236" t="s">
        <v>102</v>
      </c>
      <c r="H383" s="96" t="s">
        <v>184</v>
      </c>
      <c r="I383" s="96">
        <v>2024</v>
      </c>
      <c r="J383" s="96">
        <v>14345</v>
      </c>
      <c r="K383" s="141">
        <v>6054133</v>
      </c>
      <c r="L383" s="96" t="s">
        <v>214</v>
      </c>
      <c r="M383" s="100" t="s">
        <v>170</v>
      </c>
      <c r="N383" s="110"/>
      <c r="O383" s="110"/>
      <c r="P383" s="110">
        <f t="shared" si="8"/>
        <v>0</v>
      </c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  <c r="AA383" s="110"/>
      <c r="AB383" s="110"/>
    </row>
    <row r="384" spans="1:28" ht="45.75" customHeight="1">
      <c r="A384" s="231">
        <v>40066608</v>
      </c>
      <c r="B384" s="217" t="s">
        <v>580</v>
      </c>
      <c r="C384" s="217" t="s">
        <v>27</v>
      </c>
      <c r="D384" s="229"/>
      <c r="E384" s="96" t="s">
        <v>131</v>
      </c>
      <c r="F384" s="216" t="s">
        <v>694</v>
      </c>
      <c r="G384" s="236" t="s">
        <v>102</v>
      </c>
      <c r="H384" s="96" t="s">
        <v>146</v>
      </c>
      <c r="I384" s="96">
        <v>2024</v>
      </c>
      <c r="J384" s="96">
        <v>14383</v>
      </c>
      <c r="K384" s="141">
        <v>4530510</v>
      </c>
      <c r="L384" s="96" t="s">
        <v>172</v>
      </c>
      <c r="M384" s="100" t="s">
        <v>170</v>
      </c>
      <c r="N384" s="110"/>
      <c r="O384" s="110"/>
      <c r="P384" s="110">
        <f t="shared" si="8"/>
        <v>0</v>
      </c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  <c r="AA384" s="110"/>
      <c r="AB384" s="110"/>
    </row>
    <row r="385" spans="1:28" ht="35.25" customHeight="1">
      <c r="A385" s="231">
        <v>40053013</v>
      </c>
      <c r="B385" s="217" t="s">
        <v>523</v>
      </c>
      <c r="C385" s="217" t="s">
        <v>38</v>
      </c>
      <c r="D385" s="229"/>
      <c r="E385" s="96" t="s">
        <v>131</v>
      </c>
      <c r="F385" s="216" t="s">
        <v>695</v>
      </c>
      <c r="G385" s="236" t="s">
        <v>82</v>
      </c>
      <c r="H385" s="96" t="s">
        <v>211</v>
      </c>
      <c r="I385" s="96">
        <v>2024</v>
      </c>
      <c r="J385" s="96">
        <v>14393</v>
      </c>
      <c r="K385" s="141">
        <v>218983</v>
      </c>
      <c r="L385" s="96" t="s">
        <v>1028</v>
      </c>
      <c r="M385" s="100" t="s">
        <v>338</v>
      </c>
      <c r="N385" s="110">
        <v>1000</v>
      </c>
      <c r="O385" s="110">
        <v>25000</v>
      </c>
      <c r="P385" s="110">
        <f t="shared" si="8"/>
        <v>0</v>
      </c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A385" s="110"/>
      <c r="AB385" s="110"/>
    </row>
    <row r="386" spans="1:28" ht="36.75" customHeight="1">
      <c r="A386" s="231">
        <v>40009584</v>
      </c>
      <c r="B386" s="217" t="s">
        <v>566</v>
      </c>
      <c r="C386" s="217" t="s">
        <v>30</v>
      </c>
      <c r="D386" s="229"/>
      <c r="E386" s="96" t="s">
        <v>131</v>
      </c>
      <c r="F386" s="216" t="s">
        <v>696</v>
      </c>
      <c r="G386" s="236" t="s">
        <v>98</v>
      </c>
      <c r="H386" s="96" t="s">
        <v>133</v>
      </c>
      <c r="I386" s="96">
        <v>2024</v>
      </c>
      <c r="J386" s="96">
        <v>14394</v>
      </c>
      <c r="K386" s="141">
        <v>993592</v>
      </c>
      <c r="L386" s="96" t="s">
        <v>224</v>
      </c>
      <c r="M386" s="100" t="s">
        <v>131</v>
      </c>
      <c r="N386" s="110">
        <v>1000</v>
      </c>
      <c r="O386" s="110">
        <v>331022</v>
      </c>
      <c r="P386" s="110">
        <f t="shared" si="8"/>
        <v>80517.78</v>
      </c>
      <c r="Q386" s="110"/>
      <c r="R386" s="110"/>
      <c r="S386" s="110"/>
      <c r="T386" s="110"/>
      <c r="U386" s="110"/>
      <c r="V386" s="110"/>
      <c r="W386" s="110">
        <v>80517.78</v>
      </c>
      <c r="X386" s="110"/>
      <c r="Y386" s="110"/>
      <c r="Z386" s="110"/>
      <c r="AA386" s="110"/>
      <c r="AB386" s="110"/>
    </row>
    <row r="387" spans="1:28" ht="36.75" customHeight="1">
      <c r="A387" s="231">
        <v>40064663</v>
      </c>
      <c r="B387" s="217" t="s">
        <v>523</v>
      </c>
      <c r="C387" s="217" t="s">
        <v>27</v>
      </c>
      <c r="D387" s="229"/>
      <c r="E387" s="96" t="s">
        <v>131</v>
      </c>
      <c r="F387" s="216" t="s">
        <v>697</v>
      </c>
      <c r="G387" s="236" t="s">
        <v>102</v>
      </c>
      <c r="H387" s="96" t="s">
        <v>149</v>
      </c>
      <c r="I387" s="96">
        <v>2024</v>
      </c>
      <c r="J387" s="96">
        <v>14395</v>
      </c>
      <c r="K387" s="141">
        <v>208700</v>
      </c>
      <c r="L387" s="96" t="s">
        <v>385</v>
      </c>
      <c r="M387" s="100" t="s">
        <v>266</v>
      </c>
      <c r="N387" s="110"/>
      <c r="O387" s="110">
        <v>25000</v>
      </c>
      <c r="P387" s="110">
        <f t="shared" si="8"/>
        <v>0</v>
      </c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  <c r="AA387" s="110"/>
      <c r="AB387" s="110"/>
    </row>
    <row r="388" spans="1:28" ht="24">
      <c r="A388" s="102">
        <v>40065916</v>
      </c>
      <c r="B388" s="217" t="s">
        <v>566</v>
      </c>
      <c r="C388" s="217" t="s">
        <v>30</v>
      </c>
      <c r="D388" s="229"/>
      <c r="E388" s="96" t="s">
        <v>131</v>
      </c>
      <c r="F388" s="103" t="s">
        <v>698</v>
      </c>
      <c r="G388" s="236" t="s">
        <v>91</v>
      </c>
      <c r="H388" s="96" t="s">
        <v>699</v>
      </c>
      <c r="I388" s="96">
        <v>2024</v>
      </c>
      <c r="J388" s="96">
        <v>14427</v>
      </c>
      <c r="K388" s="141">
        <v>832990</v>
      </c>
      <c r="L388" s="96" t="s">
        <v>158</v>
      </c>
      <c r="M388" s="100" t="s">
        <v>151</v>
      </c>
      <c r="N388" s="110">
        <v>1000</v>
      </c>
      <c r="O388" s="110">
        <v>54963</v>
      </c>
      <c r="P388" s="110">
        <f t="shared" si="8"/>
        <v>0</v>
      </c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A388" s="110"/>
      <c r="AB388" s="110"/>
    </row>
    <row r="389" spans="1:28" ht="24">
      <c r="A389" s="231">
        <v>40021859</v>
      </c>
      <c r="B389" s="217" t="s">
        <v>523</v>
      </c>
      <c r="C389" s="217" t="s">
        <v>27</v>
      </c>
      <c r="D389" s="229"/>
      <c r="E389" s="96" t="s">
        <v>131</v>
      </c>
      <c r="F389" s="216" t="s">
        <v>700</v>
      </c>
      <c r="G389" s="236" t="s">
        <v>97</v>
      </c>
      <c r="H389" s="96" t="s">
        <v>133</v>
      </c>
      <c r="I389" s="96">
        <v>2024</v>
      </c>
      <c r="J389" s="96">
        <v>14427</v>
      </c>
      <c r="K389" s="141">
        <v>149464</v>
      </c>
      <c r="L389" s="96" t="s">
        <v>214</v>
      </c>
      <c r="M389" s="100" t="s">
        <v>338</v>
      </c>
      <c r="N389" s="110">
        <v>1000</v>
      </c>
      <c r="O389" s="110">
        <v>25000</v>
      </c>
      <c r="P389" s="110">
        <f t="shared" si="8"/>
        <v>0</v>
      </c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  <c r="AA389" s="110"/>
      <c r="AB389" s="110"/>
    </row>
    <row r="390" spans="1:28" ht="36">
      <c r="A390" s="231">
        <v>40066215</v>
      </c>
      <c r="B390" s="217" t="s">
        <v>578</v>
      </c>
      <c r="C390" s="217" t="s">
        <v>27</v>
      </c>
      <c r="D390" s="229"/>
      <c r="E390" s="96" t="s">
        <v>131</v>
      </c>
      <c r="F390" s="216" t="s">
        <v>701</v>
      </c>
      <c r="G390" s="236" t="s">
        <v>81</v>
      </c>
      <c r="H390" s="96" t="s">
        <v>140</v>
      </c>
      <c r="I390" s="96">
        <v>2023</v>
      </c>
      <c r="J390" s="96">
        <v>13595</v>
      </c>
      <c r="K390" s="141">
        <v>1216254</v>
      </c>
      <c r="L390" s="96" t="s">
        <v>487</v>
      </c>
      <c r="M390" s="100" t="s">
        <v>488</v>
      </c>
      <c r="N390" s="110"/>
      <c r="O390" s="110"/>
      <c r="P390" s="110">
        <f t="shared" si="8"/>
        <v>0</v>
      </c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10"/>
    </row>
    <row r="391" spans="1:28" ht="36">
      <c r="A391" s="231">
        <v>40066186</v>
      </c>
      <c r="B391" s="217" t="s">
        <v>578</v>
      </c>
      <c r="C391" s="217" t="s">
        <v>27</v>
      </c>
      <c r="D391" s="229"/>
      <c r="E391" s="96" t="s">
        <v>131</v>
      </c>
      <c r="F391" s="216" t="s">
        <v>702</v>
      </c>
      <c r="G391" s="236" t="s">
        <v>99</v>
      </c>
      <c r="H391" s="96" t="s">
        <v>140</v>
      </c>
      <c r="I391" s="96">
        <v>2023</v>
      </c>
      <c r="J391" s="96">
        <v>13595</v>
      </c>
      <c r="K391" s="141">
        <v>93969</v>
      </c>
      <c r="L391" s="96" t="s">
        <v>487</v>
      </c>
      <c r="M391" s="100" t="s">
        <v>131</v>
      </c>
      <c r="N391" s="110"/>
      <c r="O391" s="110">
        <v>18470</v>
      </c>
      <c r="P391" s="110">
        <f>SUM(Q391:AB391)</f>
        <v>18470</v>
      </c>
      <c r="Q391" s="110"/>
      <c r="R391" s="110"/>
      <c r="S391" s="110"/>
      <c r="T391" s="110"/>
      <c r="U391" s="110">
        <v>18470</v>
      </c>
      <c r="V391" s="110"/>
      <c r="W391" s="110"/>
      <c r="X391" s="110"/>
      <c r="Y391" s="110"/>
      <c r="Z391" s="276"/>
      <c r="AA391" s="110"/>
      <c r="AB391" s="269"/>
    </row>
    <row r="392" spans="1:28" ht="36">
      <c r="A392" s="231" t="s">
        <v>703</v>
      </c>
      <c r="B392" s="217" t="s">
        <v>578</v>
      </c>
      <c r="C392" s="217" t="s">
        <v>27</v>
      </c>
      <c r="D392" s="229"/>
      <c r="E392" s="96" t="s">
        <v>131</v>
      </c>
      <c r="F392" s="216" t="s">
        <v>704</v>
      </c>
      <c r="G392" s="236" t="s">
        <v>99</v>
      </c>
      <c r="H392" s="96" t="s">
        <v>140</v>
      </c>
      <c r="I392" s="96">
        <v>2024</v>
      </c>
      <c r="J392" s="96">
        <v>14434</v>
      </c>
      <c r="K392" s="141">
        <v>433466.67</v>
      </c>
      <c r="L392" s="96" t="s">
        <v>487</v>
      </c>
      <c r="M392" s="100" t="s">
        <v>488</v>
      </c>
      <c r="N392" s="110"/>
      <c r="O392" s="110"/>
      <c r="P392" s="110">
        <f t="shared" ref="P392:P434" si="13">SUM(Q392:AB392)</f>
        <v>0</v>
      </c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10"/>
    </row>
    <row r="393" spans="1:28" ht="36">
      <c r="A393" s="231" t="s">
        <v>703</v>
      </c>
      <c r="B393" s="217" t="s">
        <v>578</v>
      </c>
      <c r="C393" s="217" t="s">
        <v>27</v>
      </c>
      <c r="D393" s="229"/>
      <c r="E393" s="96" t="s">
        <v>131</v>
      </c>
      <c r="F393" s="216" t="s">
        <v>705</v>
      </c>
      <c r="G393" s="236" t="s">
        <v>97</v>
      </c>
      <c r="H393" s="96" t="s">
        <v>140</v>
      </c>
      <c r="I393" s="96">
        <v>2024</v>
      </c>
      <c r="J393" s="96">
        <v>14434</v>
      </c>
      <c r="K393" s="141">
        <v>463117.13</v>
      </c>
      <c r="L393" s="96" t="s">
        <v>487</v>
      </c>
      <c r="M393" s="100" t="s">
        <v>488</v>
      </c>
      <c r="N393" s="110"/>
      <c r="O393" s="110"/>
      <c r="P393" s="110">
        <f t="shared" si="13"/>
        <v>0</v>
      </c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  <c r="AA393" s="110"/>
      <c r="AB393" s="110"/>
    </row>
    <row r="394" spans="1:28" ht="36">
      <c r="A394" s="231">
        <v>40065749</v>
      </c>
      <c r="B394" s="217" t="s">
        <v>523</v>
      </c>
      <c r="C394" s="217" t="s">
        <v>27</v>
      </c>
      <c r="D394" s="229"/>
      <c r="E394" s="96" t="s">
        <v>131</v>
      </c>
      <c r="F394" s="216" t="s">
        <v>706</v>
      </c>
      <c r="G394" s="236" t="s">
        <v>102</v>
      </c>
      <c r="H394" s="96" t="s">
        <v>149</v>
      </c>
      <c r="I394" s="96">
        <v>2024</v>
      </c>
      <c r="J394" s="96">
        <v>14443</v>
      </c>
      <c r="K394" s="141">
        <v>533930</v>
      </c>
      <c r="L394" s="96" t="s">
        <v>385</v>
      </c>
      <c r="M394" s="100" t="s">
        <v>266</v>
      </c>
      <c r="N394" s="110"/>
      <c r="O394" s="110">
        <v>25000</v>
      </c>
      <c r="P394" s="110">
        <f t="shared" si="13"/>
        <v>0</v>
      </c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10"/>
    </row>
    <row r="395" spans="1:28" ht="24">
      <c r="A395" s="231">
        <v>40067253</v>
      </c>
      <c r="B395" s="217" t="s">
        <v>580</v>
      </c>
      <c r="C395" s="217" t="s">
        <v>27</v>
      </c>
      <c r="D395" s="229"/>
      <c r="E395" s="96" t="s">
        <v>131</v>
      </c>
      <c r="F395" s="216" t="s">
        <v>707</v>
      </c>
      <c r="G395" s="236" t="s">
        <v>98</v>
      </c>
      <c r="H395" s="96" t="s">
        <v>133</v>
      </c>
      <c r="I395" s="96">
        <v>2024</v>
      </c>
      <c r="J395" s="96">
        <v>14448</v>
      </c>
      <c r="K395" s="141">
        <v>470114</v>
      </c>
      <c r="L395" s="96" t="s">
        <v>224</v>
      </c>
      <c r="M395" s="100" t="s">
        <v>488</v>
      </c>
      <c r="N395" s="110"/>
      <c r="O395" s="110"/>
      <c r="P395" s="110">
        <f t="shared" si="13"/>
        <v>0</v>
      </c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A395" s="110"/>
      <c r="AB395" s="110"/>
    </row>
    <row r="396" spans="1:28" ht="24">
      <c r="A396" s="231">
        <v>40066900</v>
      </c>
      <c r="B396" s="217" t="s">
        <v>580</v>
      </c>
      <c r="C396" s="217" t="s">
        <v>27</v>
      </c>
      <c r="D396" s="229"/>
      <c r="E396" s="96" t="s">
        <v>131</v>
      </c>
      <c r="F396" s="216" t="s">
        <v>708</v>
      </c>
      <c r="G396" s="236" t="s">
        <v>96</v>
      </c>
      <c r="H396" s="96" t="s">
        <v>133</v>
      </c>
      <c r="I396" s="96">
        <v>2024</v>
      </c>
      <c r="J396" s="96">
        <v>14448</v>
      </c>
      <c r="K396" s="141">
        <v>314299</v>
      </c>
      <c r="L396" s="96" t="s">
        <v>179</v>
      </c>
      <c r="M396" s="100" t="s">
        <v>488</v>
      </c>
      <c r="N396" s="110"/>
      <c r="O396" s="110"/>
      <c r="P396" s="110">
        <f t="shared" si="13"/>
        <v>0</v>
      </c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</row>
    <row r="397" spans="1:28" ht="24">
      <c r="A397" s="231">
        <v>40067257</v>
      </c>
      <c r="B397" s="217" t="s">
        <v>580</v>
      </c>
      <c r="C397" s="217" t="s">
        <v>27</v>
      </c>
      <c r="D397" s="229"/>
      <c r="E397" s="96" t="s">
        <v>131</v>
      </c>
      <c r="F397" s="216" t="s">
        <v>709</v>
      </c>
      <c r="G397" s="236" t="s">
        <v>91</v>
      </c>
      <c r="H397" s="96" t="s">
        <v>133</v>
      </c>
      <c r="I397" s="96">
        <v>2024</v>
      </c>
      <c r="J397" s="96">
        <v>14448</v>
      </c>
      <c r="K397" s="141">
        <v>744721</v>
      </c>
      <c r="L397" s="96" t="s">
        <v>158</v>
      </c>
      <c r="M397" s="100" t="s">
        <v>488</v>
      </c>
      <c r="N397" s="110"/>
      <c r="O397" s="110"/>
      <c r="P397" s="110">
        <f t="shared" si="13"/>
        <v>0</v>
      </c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  <c r="AA397" s="110"/>
      <c r="AB397" s="110"/>
    </row>
    <row r="398" spans="1:28" ht="24">
      <c r="A398" s="231">
        <v>40067209</v>
      </c>
      <c r="B398" s="217" t="s">
        <v>580</v>
      </c>
      <c r="C398" s="217" t="s">
        <v>27</v>
      </c>
      <c r="D398" s="229"/>
      <c r="E398" s="96" t="s">
        <v>131</v>
      </c>
      <c r="F398" s="216" t="s">
        <v>710</v>
      </c>
      <c r="G398" s="236" t="s">
        <v>92</v>
      </c>
      <c r="H398" s="96" t="s">
        <v>184</v>
      </c>
      <c r="I398" s="96">
        <v>2024</v>
      </c>
      <c r="J398" s="96">
        <v>14448</v>
      </c>
      <c r="K398" s="141">
        <v>316720</v>
      </c>
      <c r="L398" s="96" t="s">
        <v>161</v>
      </c>
      <c r="M398" s="100" t="s">
        <v>488</v>
      </c>
      <c r="N398" s="110"/>
      <c r="O398" s="110"/>
      <c r="P398" s="110">
        <f t="shared" si="13"/>
        <v>0</v>
      </c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A398" s="110"/>
      <c r="AB398" s="110"/>
    </row>
    <row r="399" spans="1:28" ht="24">
      <c r="A399" s="231">
        <v>40066931</v>
      </c>
      <c r="B399" s="217" t="s">
        <v>580</v>
      </c>
      <c r="C399" s="217" t="s">
        <v>27</v>
      </c>
      <c r="D399" s="229"/>
      <c r="E399" s="96" t="s">
        <v>131</v>
      </c>
      <c r="F399" s="216" t="s">
        <v>711</v>
      </c>
      <c r="G399" s="236" t="s">
        <v>89</v>
      </c>
      <c r="H399" s="96" t="s">
        <v>133</v>
      </c>
      <c r="I399" s="96">
        <v>2024</v>
      </c>
      <c r="J399" s="96">
        <v>14448</v>
      </c>
      <c r="K399" s="141">
        <v>535988</v>
      </c>
      <c r="L399" s="96" t="s">
        <v>167</v>
      </c>
      <c r="M399" s="100" t="s">
        <v>488</v>
      </c>
      <c r="N399" s="110"/>
      <c r="O399" s="110"/>
      <c r="P399" s="110">
        <f t="shared" si="13"/>
        <v>0</v>
      </c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</row>
    <row r="400" spans="1:28" ht="24">
      <c r="A400" s="231">
        <v>40067221</v>
      </c>
      <c r="B400" s="217" t="s">
        <v>580</v>
      </c>
      <c r="C400" s="217" t="s">
        <v>27</v>
      </c>
      <c r="D400" s="229"/>
      <c r="E400" s="96" t="s">
        <v>131</v>
      </c>
      <c r="F400" s="216" t="s">
        <v>712</v>
      </c>
      <c r="G400" s="236" t="s">
        <v>82</v>
      </c>
      <c r="H400" s="96" t="s">
        <v>133</v>
      </c>
      <c r="I400" s="96">
        <v>2024</v>
      </c>
      <c r="J400" s="96">
        <v>14448</v>
      </c>
      <c r="K400" s="141">
        <v>256764</v>
      </c>
      <c r="L400" s="96" t="s">
        <v>147</v>
      </c>
      <c r="M400" s="100" t="s">
        <v>488</v>
      </c>
      <c r="N400" s="110"/>
      <c r="O400" s="110"/>
      <c r="P400" s="110">
        <f t="shared" si="13"/>
        <v>0</v>
      </c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  <c r="AA400" s="110"/>
      <c r="AB400" s="110"/>
    </row>
    <row r="401" spans="1:28" ht="24">
      <c r="A401" s="231">
        <v>40066889</v>
      </c>
      <c r="B401" s="217" t="s">
        <v>580</v>
      </c>
      <c r="C401" s="217" t="s">
        <v>27</v>
      </c>
      <c r="D401" s="229"/>
      <c r="E401" s="96" t="s">
        <v>131</v>
      </c>
      <c r="F401" s="216" t="s">
        <v>713</v>
      </c>
      <c r="G401" s="236" t="s">
        <v>83</v>
      </c>
      <c r="H401" s="96" t="s">
        <v>133</v>
      </c>
      <c r="I401" s="96">
        <v>2024</v>
      </c>
      <c r="J401" s="96">
        <v>14448</v>
      </c>
      <c r="K401" s="141">
        <v>324366</v>
      </c>
      <c r="L401" s="96" t="s">
        <v>156</v>
      </c>
      <c r="M401" s="100" t="s">
        <v>488</v>
      </c>
      <c r="N401" s="110"/>
      <c r="O401" s="110"/>
      <c r="P401" s="110">
        <f t="shared" si="13"/>
        <v>0</v>
      </c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  <c r="AA401" s="110"/>
      <c r="AB401" s="110"/>
    </row>
    <row r="402" spans="1:28" ht="24">
      <c r="A402" s="231">
        <v>40067196</v>
      </c>
      <c r="B402" s="217" t="s">
        <v>580</v>
      </c>
      <c r="C402" s="217" t="s">
        <v>27</v>
      </c>
      <c r="D402" s="229"/>
      <c r="E402" s="96" t="s">
        <v>131</v>
      </c>
      <c r="F402" s="216" t="s">
        <v>714</v>
      </c>
      <c r="G402" s="236" t="s">
        <v>81</v>
      </c>
      <c r="H402" s="96" t="s">
        <v>133</v>
      </c>
      <c r="I402" s="96">
        <v>2024</v>
      </c>
      <c r="J402" s="96">
        <v>14448</v>
      </c>
      <c r="K402" s="141">
        <v>141677</v>
      </c>
      <c r="L402" s="96" t="s">
        <v>141</v>
      </c>
      <c r="M402" s="100" t="s">
        <v>488</v>
      </c>
      <c r="N402" s="110"/>
      <c r="O402" s="110"/>
      <c r="P402" s="110">
        <f t="shared" si="13"/>
        <v>0</v>
      </c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110"/>
      <c r="AB402" s="110"/>
    </row>
    <row r="403" spans="1:28" ht="36">
      <c r="A403" s="231">
        <v>40056851</v>
      </c>
      <c r="B403" s="217" t="s">
        <v>523</v>
      </c>
      <c r="C403" s="217" t="s">
        <v>38</v>
      </c>
      <c r="D403" s="229"/>
      <c r="E403" s="96" t="s">
        <v>131</v>
      </c>
      <c r="F403" s="216" t="s">
        <v>715</v>
      </c>
      <c r="G403" s="236" t="s">
        <v>102</v>
      </c>
      <c r="H403" s="96" t="s">
        <v>149</v>
      </c>
      <c r="I403" s="96">
        <v>2024</v>
      </c>
      <c r="J403" s="96">
        <v>14472</v>
      </c>
      <c r="K403" s="141">
        <v>830883</v>
      </c>
      <c r="L403" s="96" t="s">
        <v>214</v>
      </c>
      <c r="M403" s="100" t="s">
        <v>338</v>
      </c>
      <c r="N403" s="110"/>
      <c r="O403" s="110">
        <v>50000</v>
      </c>
      <c r="P403" s="110">
        <f t="shared" si="13"/>
        <v>0</v>
      </c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  <c r="AA403" s="110"/>
      <c r="AB403" s="110"/>
    </row>
    <row r="404" spans="1:28" ht="24">
      <c r="A404" s="231">
        <v>40067457</v>
      </c>
      <c r="B404" s="217" t="s">
        <v>578</v>
      </c>
      <c r="C404" s="217" t="s">
        <v>27</v>
      </c>
      <c r="D404" s="229"/>
      <c r="E404" s="96" t="s">
        <v>131</v>
      </c>
      <c r="F404" s="216" t="s">
        <v>716</v>
      </c>
      <c r="G404" s="236" t="s">
        <v>102</v>
      </c>
      <c r="H404" s="96" t="s">
        <v>149</v>
      </c>
      <c r="I404" s="96">
        <v>2024</v>
      </c>
      <c r="J404" s="96">
        <v>14473</v>
      </c>
      <c r="K404" s="141">
        <v>1921520</v>
      </c>
      <c r="L404" s="96" t="s">
        <v>717</v>
      </c>
      <c r="M404" s="100" t="s">
        <v>1029</v>
      </c>
      <c r="N404" s="110"/>
      <c r="O404" s="110"/>
      <c r="P404" s="110">
        <f t="shared" si="13"/>
        <v>0</v>
      </c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  <c r="AA404" s="110"/>
      <c r="AB404" s="110"/>
    </row>
    <row r="405" spans="1:28" ht="36">
      <c r="A405" s="231">
        <v>40067603</v>
      </c>
      <c r="B405" s="217" t="s">
        <v>523</v>
      </c>
      <c r="C405" s="217" t="s">
        <v>27</v>
      </c>
      <c r="D405" s="229"/>
      <c r="E405" s="96" t="s">
        <v>131</v>
      </c>
      <c r="F405" s="216" t="s">
        <v>718</v>
      </c>
      <c r="G405" s="236" t="s">
        <v>102</v>
      </c>
      <c r="H405" s="96" t="s">
        <v>149</v>
      </c>
      <c r="I405" s="96">
        <v>2024</v>
      </c>
      <c r="J405" s="96">
        <v>14474</v>
      </c>
      <c r="K405" s="141">
        <v>323357</v>
      </c>
      <c r="L405" s="96" t="s">
        <v>385</v>
      </c>
      <c r="M405" s="100" t="s">
        <v>338</v>
      </c>
      <c r="N405" s="110"/>
      <c r="O405" s="110">
        <v>25000</v>
      </c>
      <c r="P405" s="110">
        <f t="shared" si="13"/>
        <v>0</v>
      </c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A405" s="110"/>
      <c r="AB405" s="110"/>
    </row>
    <row r="406" spans="1:28" ht="24">
      <c r="A406" s="231">
        <v>40060969</v>
      </c>
      <c r="B406" s="217" t="s">
        <v>523</v>
      </c>
      <c r="C406" s="217" t="s">
        <v>27</v>
      </c>
      <c r="D406" s="229"/>
      <c r="E406" s="96" t="s">
        <v>131</v>
      </c>
      <c r="F406" s="216" t="s">
        <v>719</v>
      </c>
      <c r="G406" s="236" t="s">
        <v>82</v>
      </c>
      <c r="H406" s="96" t="s">
        <v>133</v>
      </c>
      <c r="I406" s="96">
        <v>2024</v>
      </c>
      <c r="J406" s="96">
        <v>14475</v>
      </c>
      <c r="K406" s="141">
        <v>355609</v>
      </c>
      <c r="L406" s="96" t="s">
        <v>480</v>
      </c>
      <c r="M406" s="100" t="s">
        <v>338</v>
      </c>
      <c r="N406" s="110">
        <v>1000</v>
      </c>
      <c r="O406" s="110">
        <v>25000</v>
      </c>
      <c r="P406" s="110">
        <f t="shared" si="13"/>
        <v>0</v>
      </c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  <c r="AA406" s="110"/>
      <c r="AB406" s="110"/>
    </row>
    <row r="407" spans="1:28" ht="36">
      <c r="A407" s="231">
        <v>40058634</v>
      </c>
      <c r="B407" s="217" t="s">
        <v>523</v>
      </c>
      <c r="C407" s="217" t="s">
        <v>38</v>
      </c>
      <c r="D407" s="229"/>
      <c r="E407" s="96" t="s">
        <v>131</v>
      </c>
      <c r="F407" s="216" t="s">
        <v>720</v>
      </c>
      <c r="G407" s="236" t="s">
        <v>99</v>
      </c>
      <c r="H407" s="96" t="s">
        <v>149</v>
      </c>
      <c r="I407" s="96">
        <v>2024</v>
      </c>
      <c r="J407" s="96">
        <v>14476</v>
      </c>
      <c r="K407" s="141">
        <v>42338</v>
      </c>
      <c r="L407" s="96" t="s">
        <v>198</v>
      </c>
      <c r="M407" s="100" t="s">
        <v>338</v>
      </c>
      <c r="N407" s="110">
        <v>1000</v>
      </c>
      <c r="O407" s="110">
        <v>44115</v>
      </c>
      <c r="P407" s="110">
        <f t="shared" si="13"/>
        <v>0</v>
      </c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A407" s="110"/>
      <c r="AB407" s="110"/>
    </row>
    <row r="408" spans="1:28" ht="36">
      <c r="A408" s="231">
        <v>40038253</v>
      </c>
      <c r="B408" s="217" t="s">
        <v>523</v>
      </c>
      <c r="C408" s="217" t="s">
        <v>27</v>
      </c>
      <c r="D408" s="229"/>
      <c r="E408" s="96" t="s">
        <v>131</v>
      </c>
      <c r="F408" s="216" t="s">
        <v>721</v>
      </c>
      <c r="G408" s="236" t="s">
        <v>81</v>
      </c>
      <c r="H408" s="96" t="s">
        <v>146</v>
      </c>
      <c r="I408" s="96">
        <v>2024</v>
      </c>
      <c r="J408" s="96">
        <v>14484</v>
      </c>
      <c r="K408" s="141">
        <v>107100</v>
      </c>
      <c r="L408" s="96" t="s">
        <v>141</v>
      </c>
      <c r="M408" s="100" t="s">
        <v>266</v>
      </c>
      <c r="N408" s="110">
        <v>1000</v>
      </c>
      <c r="O408" s="110">
        <v>25000</v>
      </c>
      <c r="P408" s="110">
        <f t="shared" si="13"/>
        <v>0</v>
      </c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  <c r="AA408" s="110"/>
      <c r="AB408" s="110"/>
    </row>
    <row r="409" spans="1:28" ht="24">
      <c r="A409" s="231">
        <v>40067228</v>
      </c>
      <c r="B409" s="217" t="s">
        <v>580</v>
      </c>
      <c r="C409" s="217" t="s">
        <v>27</v>
      </c>
      <c r="D409" s="229"/>
      <c r="E409" s="96" t="s">
        <v>131</v>
      </c>
      <c r="F409" s="216" t="s">
        <v>722</v>
      </c>
      <c r="G409" s="236" t="s">
        <v>84</v>
      </c>
      <c r="H409" s="96" t="s">
        <v>184</v>
      </c>
      <c r="I409" s="96">
        <v>2024</v>
      </c>
      <c r="J409" s="96">
        <v>14486</v>
      </c>
      <c r="K409" s="141">
        <v>123483</v>
      </c>
      <c r="L409" s="96" t="s">
        <v>234</v>
      </c>
      <c r="M409" s="100" t="s">
        <v>488</v>
      </c>
      <c r="N409" s="110"/>
      <c r="O409" s="110"/>
      <c r="P409" s="110">
        <f t="shared" si="13"/>
        <v>0</v>
      </c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0"/>
    </row>
    <row r="410" spans="1:28" ht="24">
      <c r="A410" s="231">
        <v>40067389</v>
      </c>
      <c r="B410" s="217" t="s">
        <v>580</v>
      </c>
      <c r="C410" s="217" t="s">
        <v>27</v>
      </c>
      <c r="D410" s="229"/>
      <c r="E410" s="96" t="s">
        <v>131</v>
      </c>
      <c r="F410" s="216" t="s">
        <v>723</v>
      </c>
      <c r="G410" s="236" t="s">
        <v>85</v>
      </c>
      <c r="H410" s="96" t="s">
        <v>184</v>
      </c>
      <c r="I410" s="96">
        <v>2024</v>
      </c>
      <c r="J410" s="96">
        <v>14486</v>
      </c>
      <c r="K410" s="141">
        <v>109963</v>
      </c>
      <c r="L410" s="96" t="s">
        <v>194</v>
      </c>
      <c r="M410" s="100" t="s">
        <v>488</v>
      </c>
      <c r="N410" s="110"/>
      <c r="O410" s="110"/>
      <c r="P410" s="110">
        <f t="shared" si="13"/>
        <v>0</v>
      </c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  <c r="AA410" s="110"/>
      <c r="AB410" s="110"/>
    </row>
    <row r="411" spans="1:28" ht="24">
      <c r="A411" s="231">
        <v>40067051</v>
      </c>
      <c r="B411" s="217" t="s">
        <v>580</v>
      </c>
      <c r="C411" s="217" t="s">
        <v>27</v>
      </c>
      <c r="D411" s="229"/>
      <c r="E411" s="96" t="s">
        <v>131</v>
      </c>
      <c r="F411" s="216" t="s">
        <v>724</v>
      </c>
      <c r="G411" s="236" t="s">
        <v>86</v>
      </c>
      <c r="H411" s="96" t="s">
        <v>133</v>
      </c>
      <c r="I411" s="96">
        <v>2024</v>
      </c>
      <c r="J411" s="96">
        <v>14486</v>
      </c>
      <c r="K411" s="141">
        <v>318968</v>
      </c>
      <c r="L411" s="96" t="s">
        <v>221</v>
      </c>
      <c r="M411" s="100" t="s">
        <v>488</v>
      </c>
      <c r="N411" s="110"/>
      <c r="O411" s="110"/>
      <c r="P411" s="110">
        <f t="shared" si="13"/>
        <v>0</v>
      </c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A411" s="110"/>
      <c r="AB411" s="110"/>
    </row>
    <row r="412" spans="1:28" ht="24">
      <c r="A412" s="231">
        <v>40067083</v>
      </c>
      <c r="B412" s="217" t="s">
        <v>580</v>
      </c>
      <c r="C412" s="217" t="s">
        <v>27</v>
      </c>
      <c r="D412" s="229"/>
      <c r="E412" s="96" t="s">
        <v>131</v>
      </c>
      <c r="F412" s="216" t="s">
        <v>725</v>
      </c>
      <c r="G412" s="236" t="s">
        <v>90</v>
      </c>
      <c r="H412" s="96" t="s">
        <v>133</v>
      </c>
      <c r="I412" s="96">
        <v>2024</v>
      </c>
      <c r="J412" s="96">
        <v>14486</v>
      </c>
      <c r="K412" s="141">
        <v>522828</v>
      </c>
      <c r="L412" s="96" t="s">
        <v>137</v>
      </c>
      <c r="M412" s="100" t="s">
        <v>488</v>
      </c>
      <c r="N412" s="110"/>
      <c r="O412" s="110"/>
      <c r="P412" s="110">
        <f t="shared" si="13"/>
        <v>0</v>
      </c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  <c r="AA412" s="110"/>
      <c r="AB412" s="110"/>
    </row>
    <row r="413" spans="1:28" ht="24">
      <c r="A413" s="231">
        <v>40067477</v>
      </c>
      <c r="B413" s="217" t="s">
        <v>580</v>
      </c>
      <c r="C413" s="217" t="s">
        <v>27</v>
      </c>
      <c r="D413" s="229"/>
      <c r="E413" s="96" t="s">
        <v>131</v>
      </c>
      <c r="F413" s="216" t="s">
        <v>726</v>
      </c>
      <c r="G413" s="236" t="s">
        <v>93</v>
      </c>
      <c r="H413" s="96" t="s">
        <v>133</v>
      </c>
      <c r="I413" s="96">
        <v>2024</v>
      </c>
      <c r="J413" s="96">
        <v>14486</v>
      </c>
      <c r="K413" s="141">
        <v>177138</v>
      </c>
      <c r="L413" s="96" t="s">
        <v>218</v>
      </c>
      <c r="M413" s="100" t="s">
        <v>488</v>
      </c>
      <c r="N413" s="110"/>
      <c r="O413" s="110"/>
      <c r="P413" s="110">
        <f t="shared" si="13"/>
        <v>0</v>
      </c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A413" s="110"/>
      <c r="AB413" s="110"/>
    </row>
    <row r="414" spans="1:28" ht="24">
      <c r="A414" s="231">
        <v>40067216</v>
      </c>
      <c r="B414" s="217" t="s">
        <v>580</v>
      </c>
      <c r="C414" s="217" t="s">
        <v>27</v>
      </c>
      <c r="D414" s="229"/>
      <c r="E414" s="96" t="s">
        <v>131</v>
      </c>
      <c r="F414" s="216" t="s">
        <v>727</v>
      </c>
      <c r="G414" s="236" t="s">
        <v>97</v>
      </c>
      <c r="H414" s="96" t="s">
        <v>133</v>
      </c>
      <c r="I414" s="96">
        <v>2024</v>
      </c>
      <c r="J414" s="96">
        <v>14486</v>
      </c>
      <c r="K414" s="141">
        <v>270759</v>
      </c>
      <c r="L414" s="96" t="s">
        <v>150</v>
      </c>
      <c r="M414" s="100" t="s">
        <v>488</v>
      </c>
      <c r="N414" s="110"/>
      <c r="O414" s="110"/>
      <c r="P414" s="110">
        <f t="shared" si="13"/>
        <v>0</v>
      </c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  <c r="AA414" s="110"/>
      <c r="AB414" s="110"/>
    </row>
    <row r="415" spans="1:28" ht="24">
      <c r="A415" s="231">
        <v>40067208</v>
      </c>
      <c r="B415" s="217" t="s">
        <v>580</v>
      </c>
      <c r="C415" s="217" t="s">
        <v>27</v>
      </c>
      <c r="D415" s="217"/>
      <c r="E415" s="96" t="s">
        <v>131</v>
      </c>
      <c r="F415" s="216" t="s">
        <v>728</v>
      </c>
      <c r="G415" s="236" t="s">
        <v>99</v>
      </c>
      <c r="H415" s="96" t="s">
        <v>133</v>
      </c>
      <c r="I415" s="96">
        <v>2024</v>
      </c>
      <c r="J415" s="96">
        <v>14486</v>
      </c>
      <c r="K415" s="141">
        <v>401823</v>
      </c>
      <c r="L415" s="96" t="s">
        <v>198</v>
      </c>
      <c r="M415" s="100" t="s">
        <v>488</v>
      </c>
      <c r="N415" s="110"/>
      <c r="O415" s="110"/>
      <c r="P415" s="110">
        <f t="shared" si="13"/>
        <v>0</v>
      </c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A415" s="110"/>
      <c r="AB415" s="110"/>
    </row>
    <row r="416" spans="1:28" ht="36">
      <c r="A416" s="231" t="s">
        <v>703</v>
      </c>
      <c r="B416" s="217" t="s">
        <v>580</v>
      </c>
      <c r="C416" s="217" t="s">
        <v>27</v>
      </c>
      <c r="D416" s="217"/>
      <c r="E416" s="96" t="s">
        <v>131</v>
      </c>
      <c r="F416" s="216" t="s">
        <v>729</v>
      </c>
      <c r="G416" s="236" t="s">
        <v>102</v>
      </c>
      <c r="H416" s="96" t="s">
        <v>133</v>
      </c>
      <c r="I416" s="96">
        <v>2024</v>
      </c>
      <c r="J416" s="96">
        <v>14487</v>
      </c>
      <c r="K416" s="141">
        <v>200000</v>
      </c>
      <c r="L416" s="96" t="s">
        <v>730</v>
      </c>
      <c r="M416" s="100" t="s">
        <v>731</v>
      </c>
      <c r="N416" s="110"/>
      <c r="O416" s="110"/>
      <c r="P416" s="110">
        <f t="shared" si="13"/>
        <v>0</v>
      </c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  <c r="AA416" s="110"/>
      <c r="AB416" s="110"/>
    </row>
    <row r="417" spans="1:28" ht="36">
      <c r="A417" s="231">
        <v>30269622</v>
      </c>
      <c r="B417" s="217" t="s">
        <v>566</v>
      </c>
      <c r="C417" s="217" t="s">
        <v>30</v>
      </c>
      <c r="D417" s="217"/>
      <c r="E417" s="96" t="s">
        <v>131</v>
      </c>
      <c r="F417" s="216" t="s">
        <v>732</v>
      </c>
      <c r="G417" s="236" t="s">
        <v>97</v>
      </c>
      <c r="H417" s="96" t="s">
        <v>211</v>
      </c>
      <c r="I417" s="96">
        <v>2024</v>
      </c>
      <c r="J417" s="96">
        <v>14495</v>
      </c>
      <c r="K417" s="141">
        <v>1099718</v>
      </c>
      <c r="L417" s="96" t="s">
        <v>150</v>
      </c>
      <c r="M417" s="100" t="s">
        <v>151</v>
      </c>
      <c r="N417" s="110">
        <v>109971.8</v>
      </c>
      <c r="O417" s="110">
        <v>57800</v>
      </c>
      <c r="P417" s="110">
        <f t="shared" si="13"/>
        <v>0</v>
      </c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  <c r="AA417" s="110"/>
      <c r="AB417" s="110"/>
    </row>
    <row r="418" spans="1:28" ht="36">
      <c r="A418" s="251" t="s">
        <v>703</v>
      </c>
      <c r="B418" s="231">
        <v>33</v>
      </c>
      <c r="C418" s="217" t="s">
        <v>27</v>
      </c>
      <c r="D418" s="217"/>
      <c r="E418" s="96" t="s">
        <v>131</v>
      </c>
      <c r="F418" s="241" t="s">
        <v>733</v>
      </c>
      <c r="G418" s="236" t="s">
        <v>102</v>
      </c>
      <c r="H418" s="96" t="s">
        <v>140</v>
      </c>
      <c r="I418" s="96">
        <v>2024</v>
      </c>
      <c r="J418" s="96">
        <v>14524</v>
      </c>
      <c r="K418" s="141">
        <v>2044555.3859999999</v>
      </c>
      <c r="L418" s="96" t="s">
        <v>487</v>
      </c>
      <c r="M418" s="100" t="s">
        <v>488</v>
      </c>
      <c r="N418" s="110"/>
      <c r="O418" s="110"/>
      <c r="P418" s="110">
        <f t="shared" si="13"/>
        <v>0</v>
      </c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  <c r="AA418" s="110"/>
      <c r="AB418" s="110"/>
    </row>
    <row r="419" spans="1:28" ht="24">
      <c r="A419" s="231">
        <v>40067843</v>
      </c>
      <c r="B419" s="231">
        <v>33</v>
      </c>
      <c r="C419" s="217" t="s">
        <v>27</v>
      </c>
      <c r="D419" s="217"/>
      <c r="E419" s="96" t="s">
        <v>131</v>
      </c>
      <c r="F419" s="241" t="s">
        <v>734</v>
      </c>
      <c r="G419" s="236" t="s">
        <v>102</v>
      </c>
      <c r="H419" s="96" t="s">
        <v>308</v>
      </c>
      <c r="I419" s="96">
        <v>2024</v>
      </c>
      <c r="J419" s="96">
        <v>14528</v>
      </c>
      <c r="K419" s="141">
        <v>453037</v>
      </c>
      <c r="L419" s="96" t="s">
        <v>735</v>
      </c>
      <c r="M419" s="100" t="s">
        <v>1029</v>
      </c>
      <c r="N419" s="110"/>
      <c r="O419" s="110"/>
      <c r="P419" s="110">
        <f t="shared" si="13"/>
        <v>0</v>
      </c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</row>
    <row r="420" spans="1:28" ht="36">
      <c r="A420" s="251">
        <v>40067330</v>
      </c>
      <c r="B420" s="217" t="s">
        <v>523</v>
      </c>
      <c r="C420" s="217" t="s">
        <v>27</v>
      </c>
      <c r="D420" s="217"/>
      <c r="E420" s="96" t="s">
        <v>131</v>
      </c>
      <c r="F420" s="241" t="s">
        <v>736</v>
      </c>
      <c r="G420" s="236" t="s">
        <v>102</v>
      </c>
      <c r="H420" s="96" t="s">
        <v>149</v>
      </c>
      <c r="I420" s="96">
        <v>2024</v>
      </c>
      <c r="J420" s="96">
        <v>14499</v>
      </c>
      <c r="K420" s="141">
        <v>180476</v>
      </c>
      <c r="L420" s="96" t="s">
        <v>385</v>
      </c>
      <c r="M420" s="100" t="s">
        <v>338</v>
      </c>
      <c r="N420" s="110"/>
      <c r="O420" s="110">
        <v>50000</v>
      </c>
      <c r="P420" s="110">
        <f t="shared" si="13"/>
        <v>0</v>
      </c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  <c r="AA420" s="110"/>
      <c r="AB420" s="110"/>
    </row>
    <row r="421" spans="1:28" ht="24">
      <c r="A421" s="251">
        <v>40066379</v>
      </c>
      <c r="B421" s="217" t="s">
        <v>523</v>
      </c>
      <c r="C421" s="217" t="s">
        <v>27</v>
      </c>
      <c r="D421" s="217"/>
      <c r="E421" s="96" t="s">
        <v>131</v>
      </c>
      <c r="F421" s="241" t="s">
        <v>737</v>
      </c>
      <c r="G421" s="236" t="s">
        <v>102</v>
      </c>
      <c r="H421" s="96" t="s">
        <v>143</v>
      </c>
      <c r="I421" s="96">
        <v>2024</v>
      </c>
      <c r="J421" s="96">
        <v>14499</v>
      </c>
      <c r="K421" s="141">
        <v>531460</v>
      </c>
      <c r="L421" s="96" t="s">
        <v>498</v>
      </c>
      <c r="M421" s="100" t="s">
        <v>338</v>
      </c>
      <c r="N421" s="110">
        <v>1000</v>
      </c>
      <c r="O421" s="110">
        <v>25000</v>
      </c>
      <c r="P421" s="110">
        <f t="shared" si="13"/>
        <v>0</v>
      </c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A421" s="110"/>
      <c r="AB421" s="110"/>
    </row>
    <row r="422" spans="1:28" ht="24">
      <c r="A422" s="251">
        <v>40064628</v>
      </c>
      <c r="B422" s="217" t="s">
        <v>523</v>
      </c>
      <c r="C422" s="217" t="s">
        <v>38</v>
      </c>
      <c r="D422" s="217"/>
      <c r="E422" s="96" t="s">
        <v>131</v>
      </c>
      <c r="F422" s="241" t="s">
        <v>738</v>
      </c>
      <c r="G422" s="236" t="s">
        <v>102</v>
      </c>
      <c r="H422" s="96" t="s">
        <v>143</v>
      </c>
      <c r="I422" s="96">
        <v>2024</v>
      </c>
      <c r="J422" s="96">
        <v>14499</v>
      </c>
      <c r="K422" s="141">
        <v>431639</v>
      </c>
      <c r="L422" s="96" t="s">
        <v>498</v>
      </c>
      <c r="M422" s="100" t="s">
        <v>338</v>
      </c>
      <c r="N422" s="110">
        <v>1000</v>
      </c>
      <c r="O422" s="110">
        <v>25000</v>
      </c>
      <c r="P422" s="110">
        <f t="shared" si="13"/>
        <v>0</v>
      </c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A422" s="110"/>
      <c r="AB422" s="110"/>
    </row>
    <row r="423" spans="1:28" ht="36">
      <c r="A423" s="251">
        <v>40067878</v>
      </c>
      <c r="B423" s="217" t="s">
        <v>523</v>
      </c>
      <c r="C423" s="217" t="s">
        <v>38</v>
      </c>
      <c r="D423" s="217"/>
      <c r="E423" s="96" t="s">
        <v>131</v>
      </c>
      <c r="F423" s="241" t="s">
        <v>1032</v>
      </c>
      <c r="G423" s="236" t="s">
        <v>102</v>
      </c>
      <c r="H423" s="96" t="s">
        <v>253</v>
      </c>
      <c r="I423" s="96">
        <v>2025</v>
      </c>
      <c r="J423" s="96" t="s">
        <v>1033</v>
      </c>
      <c r="K423" s="141">
        <v>11195964</v>
      </c>
      <c r="L423" s="96" t="s">
        <v>385</v>
      </c>
      <c r="M423" s="100" t="s">
        <v>488</v>
      </c>
      <c r="N423" s="110">
        <v>1000</v>
      </c>
      <c r="O423" s="110"/>
      <c r="P423" s="110">
        <f t="shared" si="13"/>
        <v>0</v>
      </c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</row>
    <row r="424" spans="1:28" ht="48">
      <c r="A424" s="251" t="s">
        <v>703</v>
      </c>
      <c r="B424" s="217" t="s">
        <v>523</v>
      </c>
      <c r="C424" s="217" t="s">
        <v>38</v>
      </c>
      <c r="D424" s="217"/>
      <c r="E424" s="96" t="s">
        <v>131</v>
      </c>
      <c r="F424" s="241" t="s">
        <v>739</v>
      </c>
      <c r="G424" s="236" t="s">
        <v>102</v>
      </c>
      <c r="H424" s="96" t="s">
        <v>149</v>
      </c>
      <c r="I424" s="96">
        <v>2024</v>
      </c>
      <c r="J424" s="96">
        <v>14471</v>
      </c>
      <c r="K424" s="141">
        <v>1384990</v>
      </c>
      <c r="L424" s="96" t="s">
        <v>740</v>
      </c>
      <c r="M424" s="100" t="s">
        <v>1030</v>
      </c>
      <c r="N424" s="110"/>
      <c r="O424" s="110"/>
      <c r="P424" s="110">
        <f t="shared" si="13"/>
        <v>0</v>
      </c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</row>
    <row r="425" spans="1:28" ht="36">
      <c r="A425" s="251">
        <v>40032634</v>
      </c>
      <c r="B425" s="217" t="s">
        <v>566</v>
      </c>
      <c r="C425" s="217" t="s">
        <v>30</v>
      </c>
      <c r="D425" s="217"/>
      <c r="E425" s="96" t="s">
        <v>131</v>
      </c>
      <c r="F425" s="241" t="s">
        <v>741</v>
      </c>
      <c r="G425" s="236" t="s">
        <v>89</v>
      </c>
      <c r="H425" s="96" t="s">
        <v>140</v>
      </c>
      <c r="I425" s="96">
        <v>2024</v>
      </c>
      <c r="J425" s="96">
        <v>14556</v>
      </c>
      <c r="K425" s="141">
        <v>1008566</v>
      </c>
      <c r="L425" s="96" t="s">
        <v>487</v>
      </c>
      <c r="M425" s="100" t="s">
        <v>338</v>
      </c>
      <c r="N425" s="110">
        <v>100856.6</v>
      </c>
      <c r="O425" s="110">
        <v>212573</v>
      </c>
      <c r="P425" s="110">
        <f t="shared" si="13"/>
        <v>0</v>
      </c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</row>
    <row r="426" spans="1:28" ht="36">
      <c r="A426" s="251">
        <v>40055683</v>
      </c>
      <c r="B426" s="217" t="s">
        <v>523</v>
      </c>
      <c r="C426" s="217" t="s">
        <v>38</v>
      </c>
      <c r="D426" s="217"/>
      <c r="E426" s="96" t="s">
        <v>131</v>
      </c>
      <c r="F426" s="241" t="s">
        <v>742</v>
      </c>
      <c r="G426" s="236" t="s">
        <v>102</v>
      </c>
      <c r="H426" s="96" t="s">
        <v>253</v>
      </c>
      <c r="I426" s="96">
        <v>2024</v>
      </c>
      <c r="J426" s="96">
        <v>14533</v>
      </c>
      <c r="K426" s="141">
        <v>255167</v>
      </c>
      <c r="L426" s="96" t="s">
        <v>740</v>
      </c>
      <c r="M426" s="100" t="s">
        <v>338</v>
      </c>
      <c r="N426" s="110">
        <v>1000</v>
      </c>
      <c r="O426" s="110">
        <v>25000</v>
      </c>
      <c r="P426" s="110">
        <f t="shared" si="13"/>
        <v>0</v>
      </c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A426" s="110"/>
      <c r="AB426" s="110"/>
    </row>
    <row r="427" spans="1:28" ht="36">
      <c r="A427" s="251">
        <v>40063738</v>
      </c>
      <c r="B427" s="217" t="s">
        <v>523</v>
      </c>
      <c r="C427" s="217" t="s">
        <v>38</v>
      </c>
      <c r="D427" s="217"/>
      <c r="E427" s="96" t="s">
        <v>131</v>
      </c>
      <c r="F427" s="241" t="s">
        <v>743</v>
      </c>
      <c r="G427" s="236" t="s">
        <v>83</v>
      </c>
      <c r="H427" s="96" t="s">
        <v>146</v>
      </c>
      <c r="I427" s="96">
        <v>2024</v>
      </c>
      <c r="J427" s="96">
        <v>14578</v>
      </c>
      <c r="K427" s="141">
        <v>1207255</v>
      </c>
      <c r="L427" s="96" t="s">
        <v>978</v>
      </c>
      <c r="M427" s="100" t="s">
        <v>338</v>
      </c>
      <c r="N427" s="110">
        <v>1000</v>
      </c>
      <c r="O427" s="110">
        <v>25000</v>
      </c>
      <c r="P427" s="110">
        <f t="shared" si="13"/>
        <v>0</v>
      </c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</row>
    <row r="428" spans="1:28" ht="36">
      <c r="A428" s="251">
        <v>40059107</v>
      </c>
      <c r="B428" s="217" t="s">
        <v>523</v>
      </c>
      <c r="C428" s="217" t="s">
        <v>27</v>
      </c>
      <c r="D428" s="217"/>
      <c r="E428" s="96" t="s">
        <v>131</v>
      </c>
      <c r="F428" s="241" t="s">
        <v>744</v>
      </c>
      <c r="G428" s="236" t="s">
        <v>99</v>
      </c>
      <c r="H428" s="96" t="s">
        <v>133</v>
      </c>
      <c r="I428" s="96">
        <v>2024</v>
      </c>
      <c r="J428" s="96">
        <v>14604</v>
      </c>
      <c r="K428" s="141">
        <v>1028421</v>
      </c>
      <c r="L428" s="96" t="s">
        <v>198</v>
      </c>
      <c r="M428" s="100" t="s">
        <v>338</v>
      </c>
      <c r="N428" s="110">
        <v>1000</v>
      </c>
      <c r="O428" s="110">
        <v>100000</v>
      </c>
      <c r="P428" s="110">
        <f t="shared" si="13"/>
        <v>0</v>
      </c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110"/>
      <c r="AB428" s="110"/>
    </row>
    <row r="429" spans="1:28" ht="36">
      <c r="A429" s="251">
        <v>40068384</v>
      </c>
      <c r="B429" s="217" t="s">
        <v>523</v>
      </c>
      <c r="C429" s="217" t="s">
        <v>38</v>
      </c>
      <c r="D429" s="217"/>
      <c r="E429" s="96" t="s">
        <v>131</v>
      </c>
      <c r="F429" s="241" t="s">
        <v>745</v>
      </c>
      <c r="G429" s="236" t="s">
        <v>102</v>
      </c>
      <c r="H429" s="96" t="s">
        <v>149</v>
      </c>
      <c r="I429" s="96">
        <v>2024</v>
      </c>
      <c r="J429" s="96">
        <v>14596</v>
      </c>
      <c r="K429" s="141">
        <v>273208</v>
      </c>
      <c r="L429" s="96" t="s">
        <v>385</v>
      </c>
      <c r="M429" s="100" t="s">
        <v>338</v>
      </c>
      <c r="N429" s="110">
        <v>1000</v>
      </c>
      <c r="O429" s="110">
        <v>25000</v>
      </c>
      <c r="P429" s="110">
        <f t="shared" si="13"/>
        <v>0</v>
      </c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  <c r="AA429" s="110"/>
      <c r="AB429" s="110"/>
    </row>
    <row r="430" spans="1:28" ht="36">
      <c r="A430" s="251">
        <v>40068047</v>
      </c>
      <c r="B430" s="217" t="s">
        <v>523</v>
      </c>
      <c r="C430" s="217" t="s">
        <v>27</v>
      </c>
      <c r="D430" s="217"/>
      <c r="E430" s="96" t="s">
        <v>131</v>
      </c>
      <c r="F430" s="241" t="s">
        <v>746</v>
      </c>
      <c r="G430" s="236" t="s">
        <v>102</v>
      </c>
      <c r="H430" s="96" t="s">
        <v>149</v>
      </c>
      <c r="I430" s="96">
        <v>2024</v>
      </c>
      <c r="J430" s="96">
        <v>14595</v>
      </c>
      <c r="K430" s="141">
        <v>255796</v>
      </c>
      <c r="L430" s="96" t="s">
        <v>385</v>
      </c>
      <c r="M430" s="100" t="s">
        <v>266</v>
      </c>
      <c r="N430" s="110">
        <v>1000</v>
      </c>
      <c r="O430" s="110">
        <v>25000</v>
      </c>
      <c r="P430" s="110">
        <f t="shared" si="13"/>
        <v>0</v>
      </c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  <c r="AA430" s="110"/>
      <c r="AB430" s="110"/>
    </row>
    <row r="431" spans="1:28" ht="36">
      <c r="A431" s="251">
        <v>40066640</v>
      </c>
      <c r="B431" s="217" t="s">
        <v>523</v>
      </c>
      <c r="C431" s="217" t="s">
        <v>27</v>
      </c>
      <c r="D431" s="217"/>
      <c r="E431" s="96" t="s">
        <v>131</v>
      </c>
      <c r="F431" s="241" t="s">
        <v>747</v>
      </c>
      <c r="G431" s="236" t="s">
        <v>84</v>
      </c>
      <c r="H431" s="96" t="s">
        <v>149</v>
      </c>
      <c r="I431" s="96">
        <v>2024</v>
      </c>
      <c r="J431" s="96">
        <v>14594</v>
      </c>
      <c r="K431" s="141">
        <v>140691</v>
      </c>
      <c r="L431" s="96" t="s">
        <v>480</v>
      </c>
      <c r="M431" s="100" t="s">
        <v>481</v>
      </c>
      <c r="N431" s="110">
        <v>1000</v>
      </c>
      <c r="O431" s="110">
        <v>50000</v>
      </c>
      <c r="P431" s="110">
        <f t="shared" si="13"/>
        <v>0</v>
      </c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</row>
    <row r="432" spans="1:28" ht="37.5" customHeight="1">
      <c r="A432" s="251">
        <v>40006938</v>
      </c>
      <c r="B432" s="217" t="s">
        <v>566</v>
      </c>
      <c r="C432" s="217" t="s">
        <v>30</v>
      </c>
      <c r="D432" s="217"/>
      <c r="E432" s="96" t="s">
        <v>131</v>
      </c>
      <c r="F432" s="241" t="s">
        <v>748</v>
      </c>
      <c r="G432" s="236" t="s">
        <v>98</v>
      </c>
      <c r="H432" s="96" t="s">
        <v>699</v>
      </c>
      <c r="I432" s="96">
        <v>2024</v>
      </c>
      <c r="J432" s="96">
        <v>14593</v>
      </c>
      <c r="K432" s="141">
        <v>25460083</v>
      </c>
      <c r="L432" s="96" t="s">
        <v>134</v>
      </c>
      <c r="M432" s="100" t="s">
        <v>338</v>
      </c>
      <c r="N432" s="110">
        <v>1200000</v>
      </c>
      <c r="O432" s="110">
        <v>312313</v>
      </c>
      <c r="P432" s="110">
        <f t="shared" si="13"/>
        <v>0</v>
      </c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  <c r="AA432" s="110"/>
      <c r="AB432" s="110"/>
    </row>
    <row r="433" spans="1:28" ht="36">
      <c r="A433" s="251">
        <v>40059916</v>
      </c>
      <c r="B433" s="217" t="s">
        <v>523</v>
      </c>
      <c r="C433" s="217" t="s">
        <v>27</v>
      </c>
      <c r="D433" s="217"/>
      <c r="E433" s="96" t="s">
        <v>131</v>
      </c>
      <c r="F433" s="241" t="s">
        <v>749</v>
      </c>
      <c r="G433" s="236" t="s">
        <v>82</v>
      </c>
      <c r="H433" s="96" t="s">
        <v>133</v>
      </c>
      <c r="I433" s="96">
        <v>2024</v>
      </c>
      <c r="J433" s="96">
        <v>14590</v>
      </c>
      <c r="K433" s="141">
        <v>531338</v>
      </c>
      <c r="L433" s="96" t="s">
        <v>214</v>
      </c>
      <c r="M433" s="100" t="s">
        <v>338</v>
      </c>
      <c r="N433" s="110">
        <v>1000</v>
      </c>
      <c r="O433" s="110">
        <v>50000</v>
      </c>
      <c r="P433" s="110">
        <f t="shared" si="13"/>
        <v>0</v>
      </c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  <c r="AA433" s="110"/>
      <c r="AB433" s="110"/>
    </row>
    <row r="434" spans="1:28" ht="24">
      <c r="A434" s="251">
        <v>40045057</v>
      </c>
      <c r="B434" s="217" t="s">
        <v>523</v>
      </c>
      <c r="C434" s="217" t="s">
        <v>38</v>
      </c>
      <c r="D434" s="217"/>
      <c r="E434" s="96" t="s">
        <v>131</v>
      </c>
      <c r="F434" s="241" t="s">
        <v>750</v>
      </c>
      <c r="G434" s="236" t="s">
        <v>98</v>
      </c>
      <c r="H434" s="96" t="s">
        <v>146</v>
      </c>
      <c r="I434" s="96">
        <v>2024</v>
      </c>
      <c r="J434" s="96">
        <v>14587</v>
      </c>
      <c r="K434" s="141">
        <v>363548</v>
      </c>
      <c r="L434" s="96" t="s">
        <v>214</v>
      </c>
      <c r="M434" s="100" t="s">
        <v>338</v>
      </c>
      <c r="N434" s="110">
        <v>1000</v>
      </c>
      <c r="O434" s="110">
        <v>50000</v>
      </c>
      <c r="P434" s="110">
        <f t="shared" si="13"/>
        <v>0</v>
      </c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</row>
    <row r="435" spans="1:28" ht="36">
      <c r="A435" s="251">
        <v>40059705</v>
      </c>
      <c r="B435" s="217" t="s">
        <v>566</v>
      </c>
      <c r="C435" s="217" t="s">
        <v>30</v>
      </c>
      <c r="D435" s="217"/>
      <c r="E435" s="96" t="s">
        <v>131</v>
      </c>
      <c r="F435" s="241" t="s">
        <v>751</v>
      </c>
      <c r="G435" s="236" t="s">
        <v>82</v>
      </c>
      <c r="H435" s="96" t="s">
        <v>699</v>
      </c>
      <c r="I435" s="96">
        <v>2024</v>
      </c>
      <c r="J435" s="96">
        <v>14585</v>
      </c>
      <c r="K435" s="141">
        <v>34711002</v>
      </c>
      <c r="L435" s="96" t="s">
        <v>299</v>
      </c>
      <c r="M435" s="100" t="s">
        <v>266</v>
      </c>
      <c r="N435" s="110">
        <v>1200000</v>
      </c>
      <c r="O435" s="110">
        <v>209617</v>
      </c>
      <c r="P435" s="110">
        <f>SUM(Q435:AB435)</f>
        <v>0</v>
      </c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  <c r="AA435" s="110"/>
      <c r="AB435" s="110"/>
    </row>
    <row r="436" spans="1:28" ht="24">
      <c r="A436" s="251">
        <v>40064781</v>
      </c>
      <c r="B436" s="217" t="s">
        <v>523</v>
      </c>
      <c r="C436" s="217" t="s">
        <v>38</v>
      </c>
      <c r="D436" s="217"/>
      <c r="E436" s="96" t="s">
        <v>131</v>
      </c>
      <c r="F436" s="241" t="s">
        <v>752</v>
      </c>
      <c r="G436" s="236" t="s">
        <v>102</v>
      </c>
      <c r="H436" s="96" t="s">
        <v>146</v>
      </c>
      <c r="I436" s="96">
        <v>2024</v>
      </c>
      <c r="J436" s="96">
        <v>14668</v>
      </c>
      <c r="K436" s="141">
        <v>453906</v>
      </c>
      <c r="L436" s="96" t="s">
        <v>214</v>
      </c>
      <c r="M436" s="100" t="s">
        <v>338</v>
      </c>
      <c r="N436" s="110">
        <v>1000</v>
      </c>
      <c r="O436" s="110">
        <v>25000</v>
      </c>
      <c r="P436" s="110">
        <f t="shared" ref="P436:P437" si="14">SUM(Q436:AB436)</f>
        <v>0</v>
      </c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  <c r="AA436" s="110"/>
      <c r="AB436" s="110"/>
    </row>
    <row r="437" spans="1:28" ht="36">
      <c r="A437" s="251">
        <v>40068180</v>
      </c>
      <c r="B437" s="217" t="s">
        <v>523</v>
      </c>
      <c r="C437" s="217" t="s">
        <v>27</v>
      </c>
      <c r="D437" s="217"/>
      <c r="E437" s="96" t="s">
        <v>131</v>
      </c>
      <c r="F437" s="241" t="s">
        <v>753</v>
      </c>
      <c r="G437" s="236" t="s">
        <v>102</v>
      </c>
      <c r="H437" s="96" t="s">
        <v>146</v>
      </c>
      <c r="I437" s="96">
        <v>2024</v>
      </c>
      <c r="J437" s="96">
        <v>14671</v>
      </c>
      <c r="K437" s="141">
        <v>138271</v>
      </c>
      <c r="L437" s="96" t="s">
        <v>214</v>
      </c>
      <c r="M437" s="100" t="s">
        <v>338</v>
      </c>
      <c r="N437" s="110">
        <v>1000</v>
      </c>
      <c r="O437" s="110">
        <v>25000</v>
      </c>
      <c r="P437" s="110">
        <f t="shared" si="14"/>
        <v>0</v>
      </c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  <c r="AA437" s="110"/>
      <c r="AB437" s="110"/>
    </row>
    <row r="438" spans="1:28" ht="24">
      <c r="A438" s="251">
        <v>40068365</v>
      </c>
      <c r="B438" s="217" t="s">
        <v>523</v>
      </c>
      <c r="C438" s="217" t="s">
        <v>38</v>
      </c>
      <c r="D438" s="217"/>
      <c r="E438" s="96" t="s">
        <v>131</v>
      </c>
      <c r="F438" s="241" t="s">
        <v>754</v>
      </c>
      <c r="G438" s="236" t="s">
        <v>98</v>
      </c>
      <c r="H438" s="96" t="s">
        <v>182</v>
      </c>
      <c r="I438" s="96">
        <v>2024</v>
      </c>
      <c r="J438" s="96">
        <v>14692</v>
      </c>
      <c r="K438" s="141">
        <v>327861</v>
      </c>
      <c r="L438" s="96" t="s">
        <v>214</v>
      </c>
      <c r="M438" s="100" t="s">
        <v>338</v>
      </c>
      <c r="N438" s="110">
        <v>1000</v>
      </c>
      <c r="O438" s="110">
        <v>25000</v>
      </c>
      <c r="P438" s="110">
        <f t="shared" ref="P438" si="15">SUM(Q438:AB438)</f>
        <v>0</v>
      </c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</row>
    <row r="439" spans="1:28" ht="36">
      <c r="A439" s="251">
        <v>40068031</v>
      </c>
      <c r="B439" s="217" t="s">
        <v>578</v>
      </c>
      <c r="C439" s="217" t="s">
        <v>27</v>
      </c>
      <c r="D439" s="217"/>
      <c r="E439" s="96" t="s">
        <v>131</v>
      </c>
      <c r="F439" s="241" t="s">
        <v>755</v>
      </c>
      <c r="G439" s="236" t="s">
        <v>102</v>
      </c>
      <c r="H439" s="96" t="s">
        <v>308</v>
      </c>
      <c r="I439" s="96">
        <v>2024</v>
      </c>
      <c r="J439" s="96">
        <v>14701</v>
      </c>
      <c r="K439" s="141">
        <v>4000000</v>
      </c>
      <c r="L439" s="96" t="s">
        <v>309</v>
      </c>
      <c r="M439" s="100" t="s">
        <v>338</v>
      </c>
      <c r="N439" s="110"/>
      <c r="O439" s="110">
        <v>310000</v>
      </c>
      <c r="P439" s="110">
        <f t="shared" ref="P439" si="16">SUM(Q439:AB439)</f>
        <v>0</v>
      </c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  <c r="AA439" s="110"/>
      <c r="AB439" s="110"/>
    </row>
    <row r="440" spans="1:28" ht="40.5" customHeight="1">
      <c r="A440" s="251">
        <v>40068200</v>
      </c>
      <c r="B440" s="217" t="s">
        <v>523</v>
      </c>
      <c r="C440" s="217" t="s">
        <v>27</v>
      </c>
      <c r="D440" s="217"/>
      <c r="E440" s="96" t="s">
        <v>131</v>
      </c>
      <c r="F440" s="241" t="s">
        <v>756</v>
      </c>
      <c r="G440" s="236" t="s">
        <v>82</v>
      </c>
      <c r="H440" s="96" t="s">
        <v>146</v>
      </c>
      <c r="I440" s="96">
        <v>2024</v>
      </c>
      <c r="J440" s="96">
        <v>14719</v>
      </c>
      <c r="K440" s="141">
        <v>198492</v>
      </c>
      <c r="L440" s="96" t="s">
        <v>214</v>
      </c>
      <c r="M440" s="100" t="s">
        <v>338</v>
      </c>
      <c r="N440" s="110">
        <v>1000</v>
      </c>
      <c r="O440" s="110">
        <v>25000</v>
      </c>
      <c r="P440" s="110">
        <f t="shared" ref="P440" si="17">SUM(Q440:AB440)</f>
        <v>0</v>
      </c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  <c r="AA440" s="110"/>
      <c r="AB440" s="110"/>
    </row>
    <row r="441" spans="1:28" ht="36">
      <c r="A441" s="251">
        <v>40007901</v>
      </c>
      <c r="B441" s="217" t="s">
        <v>566</v>
      </c>
      <c r="C441" s="217" t="s">
        <v>30</v>
      </c>
      <c r="D441" s="217"/>
      <c r="E441" s="96" t="s">
        <v>131</v>
      </c>
      <c r="F441" s="241" t="s">
        <v>757</v>
      </c>
      <c r="G441" s="236" t="s">
        <v>85</v>
      </c>
      <c r="H441" s="96" t="s">
        <v>153</v>
      </c>
      <c r="I441" s="96">
        <v>2024</v>
      </c>
      <c r="J441" s="96">
        <v>14720</v>
      </c>
      <c r="K441" s="141">
        <v>5877409</v>
      </c>
      <c r="L441" s="96" t="s">
        <v>214</v>
      </c>
      <c r="M441" s="100" t="s">
        <v>266</v>
      </c>
      <c r="N441" s="110">
        <v>5000</v>
      </c>
      <c r="O441" s="110">
        <v>286072</v>
      </c>
      <c r="P441" s="110">
        <f t="shared" ref="P441" si="18">SUM(Q441:AB441)</f>
        <v>0</v>
      </c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  <c r="AA441" s="110"/>
      <c r="AB441" s="110"/>
    </row>
    <row r="442" spans="1:28" ht="24">
      <c r="A442" s="251">
        <v>40068853</v>
      </c>
      <c r="B442" s="217" t="s">
        <v>523</v>
      </c>
      <c r="C442" s="217" t="s">
        <v>27</v>
      </c>
      <c r="D442" s="217"/>
      <c r="E442" s="96" t="s">
        <v>131</v>
      </c>
      <c r="F442" s="241" t="s">
        <v>758</v>
      </c>
      <c r="G442" s="236" t="s">
        <v>102</v>
      </c>
      <c r="H442" s="96" t="s">
        <v>146</v>
      </c>
      <c r="I442" s="96">
        <v>2024</v>
      </c>
      <c r="J442" s="96">
        <v>14721</v>
      </c>
      <c r="K442" s="141">
        <v>2450948</v>
      </c>
      <c r="L442" s="96" t="s">
        <v>214</v>
      </c>
      <c r="M442" s="100" t="s">
        <v>338</v>
      </c>
      <c r="N442" s="110">
        <v>1000</v>
      </c>
      <c r="O442" s="110">
        <v>25000</v>
      </c>
      <c r="P442" s="110">
        <f t="shared" ref="P442" si="19">SUM(Q442:AB442)</f>
        <v>0</v>
      </c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  <c r="AA442" s="110"/>
      <c r="AB442" s="110"/>
    </row>
    <row r="443" spans="1:28" ht="24">
      <c r="A443" s="251">
        <v>40052762</v>
      </c>
      <c r="B443" s="217" t="s">
        <v>523</v>
      </c>
      <c r="C443" s="217" t="s">
        <v>27</v>
      </c>
      <c r="D443" s="217"/>
      <c r="E443" s="96" t="s">
        <v>131</v>
      </c>
      <c r="F443" s="241" t="s">
        <v>759</v>
      </c>
      <c r="G443" s="236" t="s">
        <v>99</v>
      </c>
      <c r="H443" s="96" t="s">
        <v>146</v>
      </c>
      <c r="I443" s="96">
        <v>2024</v>
      </c>
      <c r="J443" s="96">
        <v>14722</v>
      </c>
      <c r="K443" s="141">
        <v>178553</v>
      </c>
      <c r="L443" s="96" t="s">
        <v>214</v>
      </c>
      <c r="M443" s="100" t="s">
        <v>338</v>
      </c>
      <c r="N443" s="110">
        <v>1000</v>
      </c>
      <c r="O443" s="110">
        <v>25000</v>
      </c>
      <c r="P443" s="110">
        <f t="shared" ref="P443:P444" si="20">SUM(Q443:AB443)</f>
        <v>0</v>
      </c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  <c r="AA443" s="110"/>
      <c r="AB443" s="110"/>
    </row>
    <row r="444" spans="1:28" ht="36">
      <c r="A444" s="251">
        <v>40046494</v>
      </c>
      <c r="B444" s="217" t="s">
        <v>578</v>
      </c>
      <c r="C444" s="217" t="s">
        <v>27</v>
      </c>
      <c r="D444" s="217"/>
      <c r="E444" s="96" t="s">
        <v>131</v>
      </c>
      <c r="F444" s="241" t="s">
        <v>760</v>
      </c>
      <c r="G444" s="236" t="s">
        <v>102</v>
      </c>
      <c r="H444" s="96" t="s">
        <v>274</v>
      </c>
      <c r="I444" s="96">
        <v>2024</v>
      </c>
      <c r="J444" s="96">
        <v>14734</v>
      </c>
      <c r="K444" s="141">
        <v>399823</v>
      </c>
      <c r="L444" s="96" t="s">
        <v>214</v>
      </c>
      <c r="M444" s="100" t="s">
        <v>488</v>
      </c>
      <c r="N444" s="110"/>
      <c r="O444" s="110"/>
      <c r="P444" s="110">
        <f t="shared" si="20"/>
        <v>0</v>
      </c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0"/>
    </row>
    <row r="445" spans="1:28" ht="36">
      <c r="A445" s="251">
        <v>40065344</v>
      </c>
      <c r="B445" s="217" t="s">
        <v>578</v>
      </c>
      <c r="C445" s="217" t="s">
        <v>25</v>
      </c>
      <c r="D445" s="217"/>
      <c r="E445" s="96" t="s">
        <v>131</v>
      </c>
      <c r="F445" s="241" t="s">
        <v>761</v>
      </c>
      <c r="G445" s="236" t="s">
        <v>102</v>
      </c>
      <c r="H445" s="96" t="s">
        <v>274</v>
      </c>
      <c r="I445" s="96">
        <v>2024</v>
      </c>
      <c r="J445" s="96">
        <v>14735</v>
      </c>
      <c r="K445" s="141">
        <v>699923</v>
      </c>
      <c r="L445" s="96" t="s">
        <v>214</v>
      </c>
      <c r="M445" s="100" t="s">
        <v>488</v>
      </c>
      <c r="N445" s="110"/>
      <c r="O445" s="110"/>
      <c r="P445" s="110">
        <f t="shared" ref="P445" si="21">SUM(Q445:AB445)</f>
        <v>0</v>
      </c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  <c r="AA445" s="110"/>
      <c r="AB445" s="110"/>
    </row>
    <row r="446" spans="1:28" ht="36">
      <c r="A446" s="251">
        <v>40025554</v>
      </c>
      <c r="B446" s="217" t="s">
        <v>566</v>
      </c>
      <c r="C446" s="217" t="s">
        <v>30</v>
      </c>
      <c r="D446" s="217"/>
      <c r="E446" s="96" t="s">
        <v>131</v>
      </c>
      <c r="F446" s="241" t="s">
        <v>762</v>
      </c>
      <c r="G446" s="236" t="s">
        <v>82</v>
      </c>
      <c r="H446" s="96" t="s">
        <v>133</v>
      </c>
      <c r="I446" s="96">
        <v>2024</v>
      </c>
      <c r="J446" s="96">
        <v>14427</v>
      </c>
      <c r="K446" s="141">
        <v>419392</v>
      </c>
      <c r="L446" s="96" t="s">
        <v>147</v>
      </c>
      <c r="M446" s="100" t="s">
        <v>266</v>
      </c>
      <c r="N446" s="110">
        <v>1000</v>
      </c>
      <c r="O446" s="110">
        <v>50000</v>
      </c>
      <c r="P446" s="110">
        <f t="shared" ref="P446" si="22">SUM(Q446:AB446)</f>
        <v>0</v>
      </c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  <c r="AA446" s="110"/>
      <c r="AB446" s="110"/>
    </row>
    <row r="447" spans="1:28" ht="36">
      <c r="A447" s="251">
        <v>40029810</v>
      </c>
      <c r="B447" s="217" t="s">
        <v>566</v>
      </c>
      <c r="C447" s="217" t="s">
        <v>30</v>
      </c>
      <c r="D447" s="217"/>
      <c r="E447" s="96" t="s">
        <v>138</v>
      </c>
      <c r="F447" s="241" t="s">
        <v>763</v>
      </c>
      <c r="G447" s="236" t="s">
        <v>86</v>
      </c>
      <c r="H447" s="96" t="s">
        <v>274</v>
      </c>
      <c r="I447" s="96">
        <v>2024</v>
      </c>
      <c r="J447" s="96">
        <v>14748</v>
      </c>
      <c r="K447" s="141">
        <v>471251</v>
      </c>
      <c r="L447" s="96" t="s">
        <v>214</v>
      </c>
      <c r="M447" s="100" t="s">
        <v>338</v>
      </c>
      <c r="N447" s="110">
        <v>5000</v>
      </c>
      <c r="O447" s="110">
        <v>129730</v>
      </c>
      <c r="P447" s="110">
        <f>SUM(Q447:AB447)</f>
        <v>0</v>
      </c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  <c r="AA447" s="110"/>
      <c r="AB447" s="110"/>
    </row>
    <row r="448" spans="1:28" ht="36">
      <c r="A448" s="251">
        <v>40059265</v>
      </c>
      <c r="B448" s="217" t="s">
        <v>578</v>
      </c>
      <c r="C448" s="217" t="s">
        <v>25</v>
      </c>
      <c r="D448" s="217"/>
      <c r="E448" s="96" t="s">
        <v>131</v>
      </c>
      <c r="F448" s="241" t="s">
        <v>764</v>
      </c>
      <c r="G448" s="236" t="s">
        <v>102</v>
      </c>
      <c r="H448" s="96" t="s">
        <v>146</v>
      </c>
      <c r="I448" s="96">
        <v>2023</v>
      </c>
      <c r="J448" s="96">
        <v>13639</v>
      </c>
      <c r="K448" s="141">
        <v>150000</v>
      </c>
      <c r="L448" s="96" t="s">
        <v>765</v>
      </c>
      <c r="M448" s="100" t="s">
        <v>338</v>
      </c>
      <c r="N448" s="110">
        <v>90000</v>
      </c>
      <c r="O448" s="110">
        <v>90000</v>
      </c>
      <c r="P448" s="110">
        <f>SUM(Q448:AB448)</f>
        <v>0</v>
      </c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  <c r="AA448" s="110"/>
      <c r="AB448" s="110"/>
    </row>
    <row r="449" spans="1:28" ht="36">
      <c r="A449" s="251">
        <v>40059260</v>
      </c>
      <c r="B449" s="217" t="s">
        <v>578</v>
      </c>
      <c r="C449" s="217" t="s">
        <v>25</v>
      </c>
      <c r="E449" s="96" t="s">
        <v>131</v>
      </c>
      <c r="F449" s="241" t="s">
        <v>766</v>
      </c>
      <c r="G449" s="236" t="s">
        <v>102</v>
      </c>
      <c r="H449" s="96" t="s">
        <v>146</v>
      </c>
      <c r="I449" s="96">
        <v>2023</v>
      </c>
      <c r="J449" s="96">
        <v>13639</v>
      </c>
      <c r="K449" s="141">
        <v>150000</v>
      </c>
      <c r="L449" s="96" t="s">
        <v>765</v>
      </c>
      <c r="M449" s="100" t="s">
        <v>338</v>
      </c>
      <c r="N449" s="110">
        <v>90000</v>
      </c>
      <c r="O449" s="110">
        <v>90000</v>
      </c>
      <c r="P449" s="110">
        <f t="shared" ref="P449:P454" si="23">SUM(Q449:AB449)</f>
        <v>0</v>
      </c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  <c r="AA449" s="110"/>
      <c r="AB449" s="110"/>
    </row>
    <row r="450" spans="1:28" ht="36">
      <c r="A450" s="251">
        <v>40059259</v>
      </c>
      <c r="B450" s="217" t="s">
        <v>578</v>
      </c>
      <c r="C450" s="217" t="s">
        <v>25</v>
      </c>
      <c r="E450" s="96" t="s">
        <v>131</v>
      </c>
      <c r="F450" s="241" t="s">
        <v>767</v>
      </c>
      <c r="G450" s="236" t="s">
        <v>102</v>
      </c>
      <c r="H450" s="96" t="s">
        <v>146</v>
      </c>
      <c r="I450" s="96">
        <v>2023</v>
      </c>
      <c r="J450" s="96">
        <v>13639</v>
      </c>
      <c r="K450" s="141">
        <v>150000</v>
      </c>
      <c r="L450" s="96" t="s">
        <v>765</v>
      </c>
      <c r="M450" s="100" t="s">
        <v>338</v>
      </c>
      <c r="N450" s="110">
        <v>90000</v>
      </c>
      <c r="O450" s="110">
        <v>90000</v>
      </c>
      <c r="P450" s="110">
        <f t="shared" si="23"/>
        <v>0</v>
      </c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  <c r="AA450" s="110"/>
      <c r="AB450" s="110"/>
    </row>
    <row r="451" spans="1:28" ht="36">
      <c r="A451" s="251">
        <v>40059258</v>
      </c>
      <c r="B451" s="217" t="s">
        <v>578</v>
      </c>
      <c r="C451" s="217" t="s">
        <v>25</v>
      </c>
      <c r="E451" s="96" t="s">
        <v>131</v>
      </c>
      <c r="F451" s="241" t="s">
        <v>768</v>
      </c>
      <c r="G451" s="236" t="s">
        <v>102</v>
      </c>
      <c r="H451" s="96" t="s">
        <v>146</v>
      </c>
      <c r="I451" s="96">
        <v>2023</v>
      </c>
      <c r="J451" s="96">
        <v>13639</v>
      </c>
      <c r="K451" s="141">
        <v>150000</v>
      </c>
      <c r="L451" s="96" t="s">
        <v>765</v>
      </c>
      <c r="M451" s="100" t="s">
        <v>338</v>
      </c>
      <c r="N451" s="110">
        <v>90000</v>
      </c>
      <c r="O451" s="110">
        <v>90000</v>
      </c>
      <c r="P451" s="110">
        <f t="shared" si="23"/>
        <v>0</v>
      </c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  <c r="AA451" s="110"/>
      <c r="AB451" s="110"/>
    </row>
    <row r="452" spans="1:28" ht="36">
      <c r="A452" s="251">
        <v>40059257</v>
      </c>
      <c r="B452" s="217" t="s">
        <v>578</v>
      </c>
      <c r="C452" s="217" t="s">
        <v>25</v>
      </c>
      <c r="E452" s="96" t="s">
        <v>131</v>
      </c>
      <c r="F452" s="241" t="s">
        <v>769</v>
      </c>
      <c r="G452" s="236" t="s">
        <v>102</v>
      </c>
      <c r="H452" s="96" t="s">
        <v>308</v>
      </c>
      <c r="I452" s="96">
        <v>2023</v>
      </c>
      <c r="J452" s="96">
        <v>13639</v>
      </c>
      <c r="K452" s="141">
        <v>150000</v>
      </c>
      <c r="L452" s="96" t="s">
        <v>765</v>
      </c>
      <c r="M452" s="100" t="s">
        <v>338</v>
      </c>
      <c r="N452" s="110">
        <v>90000</v>
      </c>
      <c r="O452" s="110">
        <v>90000</v>
      </c>
      <c r="P452" s="110">
        <f t="shared" si="23"/>
        <v>0</v>
      </c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  <c r="AA452" s="110"/>
      <c r="AB452" s="110"/>
    </row>
    <row r="453" spans="1:28" ht="24">
      <c r="A453" s="251">
        <v>40059263</v>
      </c>
      <c r="B453" s="217" t="s">
        <v>578</v>
      </c>
      <c r="C453" s="217" t="s">
        <v>25</v>
      </c>
      <c r="E453" s="96" t="s">
        <v>131</v>
      </c>
      <c r="F453" s="241" t="s">
        <v>770</v>
      </c>
      <c r="G453" s="236" t="s">
        <v>102</v>
      </c>
      <c r="H453" s="96" t="s">
        <v>308</v>
      </c>
      <c r="I453" s="96">
        <v>2023</v>
      </c>
      <c r="J453" s="96">
        <v>13639</v>
      </c>
      <c r="K453" s="141">
        <v>97670</v>
      </c>
      <c r="L453" s="96" t="s">
        <v>771</v>
      </c>
      <c r="M453" s="100" t="s">
        <v>338</v>
      </c>
      <c r="N453" s="110">
        <v>58602</v>
      </c>
      <c r="O453" s="110">
        <v>58602</v>
      </c>
      <c r="P453" s="110">
        <f t="shared" si="23"/>
        <v>0</v>
      </c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  <c r="AA453" s="110"/>
      <c r="AB453" s="110"/>
    </row>
    <row r="454" spans="1:28" ht="36">
      <c r="A454" s="251">
        <v>40059255</v>
      </c>
      <c r="B454" s="217" t="s">
        <v>578</v>
      </c>
      <c r="C454" s="217" t="s">
        <v>25</v>
      </c>
      <c r="E454" s="96" t="s">
        <v>131</v>
      </c>
      <c r="F454" s="241" t="s">
        <v>772</v>
      </c>
      <c r="G454" s="236" t="s">
        <v>102</v>
      </c>
      <c r="H454" s="96" t="s">
        <v>308</v>
      </c>
      <c r="I454" s="96">
        <v>2023</v>
      </c>
      <c r="J454" s="96">
        <v>13639</v>
      </c>
      <c r="K454" s="141">
        <v>150000</v>
      </c>
      <c r="L454" s="96" t="s">
        <v>771</v>
      </c>
      <c r="M454" s="100" t="s">
        <v>338</v>
      </c>
      <c r="N454" s="110">
        <v>90000</v>
      </c>
      <c r="O454" s="110">
        <v>90000</v>
      </c>
      <c r="P454" s="110">
        <f t="shared" si="23"/>
        <v>0</v>
      </c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  <c r="AA454" s="110"/>
      <c r="AB454" s="110"/>
    </row>
    <row r="455" spans="1:28" ht="24">
      <c r="A455" s="251">
        <v>40059262</v>
      </c>
      <c r="B455" s="217" t="s">
        <v>578</v>
      </c>
      <c r="C455" s="217" t="s">
        <v>27</v>
      </c>
      <c r="D455" s="96"/>
      <c r="E455" s="96" t="s">
        <v>131</v>
      </c>
      <c r="F455" s="241" t="s">
        <v>773</v>
      </c>
      <c r="G455" s="236" t="s">
        <v>102</v>
      </c>
      <c r="H455" s="217" t="s">
        <v>211</v>
      </c>
      <c r="I455" s="96">
        <v>2023</v>
      </c>
      <c r="J455" s="96">
        <v>13639</v>
      </c>
      <c r="K455" s="141">
        <v>150000</v>
      </c>
      <c r="L455" s="96" t="s">
        <v>299</v>
      </c>
      <c r="M455" s="100" t="s">
        <v>338</v>
      </c>
      <c r="N455" s="110">
        <v>90000</v>
      </c>
      <c r="O455" s="110">
        <v>90000</v>
      </c>
      <c r="P455" s="110">
        <f t="shared" ref="P455:P458" si="24">SUM(Q455:AB455)</f>
        <v>0</v>
      </c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  <c r="AA455" s="110"/>
      <c r="AB455" s="110"/>
    </row>
    <row r="456" spans="1:28" ht="36">
      <c r="A456" s="251">
        <v>40059261</v>
      </c>
      <c r="B456" s="217" t="s">
        <v>578</v>
      </c>
      <c r="C456" s="217" t="s">
        <v>27</v>
      </c>
      <c r="D456" s="96"/>
      <c r="E456" s="96" t="s">
        <v>131</v>
      </c>
      <c r="F456" s="241" t="s">
        <v>774</v>
      </c>
      <c r="G456" s="236" t="s">
        <v>102</v>
      </c>
      <c r="H456" s="217" t="s">
        <v>274</v>
      </c>
      <c r="I456" s="96">
        <v>2023</v>
      </c>
      <c r="J456" s="96">
        <v>13639</v>
      </c>
      <c r="K456" s="141">
        <v>126000</v>
      </c>
      <c r="L456" s="96" t="s">
        <v>299</v>
      </c>
      <c r="M456" s="100" t="s">
        <v>338</v>
      </c>
      <c r="N456" s="110">
        <v>75600</v>
      </c>
      <c r="O456" s="110">
        <v>75600</v>
      </c>
      <c r="P456" s="110">
        <f t="shared" si="24"/>
        <v>0</v>
      </c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  <c r="AA456" s="110"/>
      <c r="AB456" s="110"/>
    </row>
    <row r="457" spans="1:28" ht="36">
      <c r="A457" s="251">
        <v>40059256</v>
      </c>
      <c r="B457" s="217" t="s">
        <v>578</v>
      </c>
      <c r="C457" s="217" t="s">
        <v>27</v>
      </c>
      <c r="D457" s="96"/>
      <c r="E457" s="96" t="s">
        <v>131</v>
      </c>
      <c r="F457" s="241" t="s">
        <v>775</v>
      </c>
      <c r="G457" s="236" t="s">
        <v>102</v>
      </c>
      <c r="H457" s="217" t="s">
        <v>776</v>
      </c>
      <c r="I457" s="96">
        <v>2023</v>
      </c>
      <c r="J457" s="96">
        <v>13639</v>
      </c>
      <c r="K457" s="141">
        <v>135000</v>
      </c>
      <c r="L457" s="96" t="s">
        <v>299</v>
      </c>
      <c r="M457" s="100" t="s">
        <v>338</v>
      </c>
      <c r="N457" s="110">
        <v>81000</v>
      </c>
      <c r="O457" s="110">
        <v>81000</v>
      </c>
      <c r="P457" s="110">
        <f t="shared" si="24"/>
        <v>0</v>
      </c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  <c r="AA457" s="110"/>
      <c r="AB457" s="110"/>
    </row>
    <row r="458" spans="1:28" ht="36">
      <c r="A458" s="251">
        <v>40059264</v>
      </c>
      <c r="B458" s="217" t="s">
        <v>578</v>
      </c>
      <c r="C458" s="217" t="s">
        <v>27</v>
      </c>
      <c r="D458" s="96"/>
      <c r="E458" s="96" t="s">
        <v>131</v>
      </c>
      <c r="F458" s="241" t="s">
        <v>777</v>
      </c>
      <c r="G458" s="236" t="s">
        <v>102</v>
      </c>
      <c r="H458" s="217" t="s">
        <v>274</v>
      </c>
      <c r="I458" s="96">
        <v>2023</v>
      </c>
      <c r="J458" s="96">
        <v>13639</v>
      </c>
      <c r="K458" s="141">
        <v>70000</v>
      </c>
      <c r="L458" s="96" t="s">
        <v>319</v>
      </c>
      <c r="M458" s="100" t="s">
        <v>338</v>
      </c>
      <c r="N458" s="110">
        <v>42000</v>
      </c>
      <c r="O458" s="110">
        <v>42000</v>
      </c>
      <c r="P458" s="110">
        <f t="shared" si="24"/>
        <v>0</v>
      </c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  <c r="AA458" s="110"/>
      <c r="AB458" s="110"/>
    </row>
    <row r="459" spans="1:28" ht="36">
      <c r="A459" s="251">
        <v>40035977</v>
      </c>
      <c r="B459" s="217" t="s">
        <v>566</v>
      </c>
      <c r="C459" s="217" t="s">
        <v>30</v>
      </c>
      <c r="D459" s="96"/>
      <c r="E459" s="96" t="s">
        <v>138</v>
      </c>
      <c r="F459" s="241" t="s">
        <v>1019</v>
      </c>
      <c r="G459" s="236" t="s">
        <v>102</v>
      </c>
      <c r="H459" s="217" t="s">
        <v>133</v>
      </c>
      <c r="I459" s="96">
        <v>2025</v>
      </c>
      <c r="J459" s="96">
        <v>15184</v>
      </c>
      <c r="K459" s="141">
        <v>231826</v>
      </c>
      <c r="L459" s="96" t="s">
        <v>214</v>
      </c>
      <c r="M459" s="100" t="s">
        <v>488</v>
      </c>
      <c r="N459" s="110"/>
      <c r="O459" s="110"/>
      <c r="P459" s="110">
        <f t="shared" ref="P459:P460" si="25">SUM(Q459:AB459)</f>
        <v>0</v>
      </c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  <c r="AA459" s="110"/>
      <c r="AB459" s="110"/>
    </row>
    <row r="460" spans="1:28" ht="36">
      <c r="A460" s="251">
        <v>40064580</v>
      </c>
      <c r="B460" s="217" t="s">
        <v>523</v>
      </c>
      <c r="C460" s="217" t="s">
        <v>27</v>
      </c>
      <c r="D460" s="96"/>
      <c r="E460" s="96" t="s">
        <v>131</v>
      </c>
      <c r="F460" s="241" t="s">
        <v>1018</v>
      </c>
      <c r="G460" s="236" t="s">
        <v>102</v>
      </c>
      <c r="H460" s="217" t="s">
        <v>146</v>
      </c>
      <c r="I460" s="96">
        <v>2025</v>
      </c>
      <c r="J460" s="96">
        <v>15215</v>
      </c>
      <c r="K460" s="141">
        <v>46396</v>
      </c>
      <c r="L460" s="96" t="s">
        <v>978</v>
      </c>
      <c r="M460" s="100" t="s">
        <v>338</v>
      </c>
      <c r="N460" s="110"/>
      <c r="O460" s="110">
        <v>25000</v>
      </c>
      <c r="P460" s="110">
        <f t="shared" si="25"/>
        <v>0</v>
      </c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  <c r="AA460" s="110"/>
      <c r="AB460" s="110"/>
    </row>
    <row r="461" spans="1:28" ht="36">
      <c r="A461" s="251">
        <v>40068481</v>
      </c>
      <c r="B461" s="217" t="s">
        <v>523</v>
      </c>
      <c r="C461" s="217" t="s">
        <v>38</v>
      </c>
      <c r="D461" s="96"/>
      <c r="E461" s="96" t="s">
        <v>131</v>
      </c>
      <c r="F461" s="241" t="s">
        <v>1017</v>
      </c>
      <c r="G461" s="236" t="s">
        <v>102</v>
      </c>
      <c r="H461" s="217" t="s">
        <v>146</v>
      </c>
      <c r="I461" s="96">
        <v>2025</v>
      </c>
      <c r="J461" s="96">
        <v>15216</v>
      </c>
      <c r="K461" s="141">
        <v>489811</v>
      </c>
      <c r="L461" s="96" t="s">
        <v>978</v>
      </c>
      <c r="M461" s="100" t="s">
        <v>338</v>
      </c>
      <c r="N461" s="110"/>
      <c r="O461" s="110">
        <v>25000</v>
      </c>
      <c r="P461" s="110">
        <f t="shared" ref="P461" si="26">SUM(Q461:AB461)</f>
        <v>0</v>
      </c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  <c r="AA461" s="110"/>
      <c r="AB461" s="110"/>
    </row>
    <row r="462" spans="1:28" ht="36">
      <c r="A462" s="251">
        <v>40073107</v>
      </c>
      <c r="B462" s="217"/>
      <c r="C462" s="217"/>
      <c r="D462" s="96"/>
      <c r="E462" s="96" t="s">
        <v>966</v>
      </c>
      <c r="F462" s="241" t="s">
        <v>1034</v>
      </c>
      <c r="G462" s="236" t="s">
        <v>102</v>
      </c>
      <c r="H462" s="217" t="s">
        <v>184</v>
      </c>
      <c r="I462" s="96">
        <v>2025</v>
      </c>
      <c r="J462" s="96">
        <v>15224</v>
      </c>
      <c r="K462" s="141">
        <v>450497</v>
      </c>
      <c r="L462" s="96" t="s">
        <v>214</v>
      </c>
      <c r="M462" s="100" t="s">
        <v>488</v>
      </c>
      <c r="N462" s="110"/>
      <c r="O462" s="110"/>
      <c r="P462" s="110">
        <f t="shared" ref="P462" si="27">SUM(Q462:AB462)</f>
        <v>0</v>
      </c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  <c r="AA462" s="110"/>
      <c r="AB462" s="110"/>
    </row>
    <row r="463" spans="1:28" ht="24">
      <c r="A463" s="251">
        <v>40073057</v>
      </c>
      <c r="B463" s="217" t="s">
        <v>523</v>
      </c>
      <c r="C463" s="217" t="s">
        <v>27</v>
      </c>
      <c r="D463" s="96"/>
      <c r="E463" s="96" t="s">
        <v>966</v>
      </c>
      <c r="F463" s="241" t="s">
        <v>1035</v>
      </c>
      <c r="G463" s="236" t="s">
        <v>102</v>
      </c>
      <c r="H463" s="217" t="s">
        <v>149</v>
      </c>
      <c r="I463" s="96">
        <v>2025</v>
      </c>
      <c r="J463" s="96">
        <v>15293</v>
      </c>
      <c r="K463" s="141">
        <v>519000</v>
      </c>
      <c r="L463" s="96" t="s">
        <v>214</v>
      </c>
      <c r="M463" s="100" t="s">
        <v>488</v>
      </c>
      <c r="N463" s="110"/>
      <c r="O463" s="110"/>
      <c r="P463" s="110">
        <f t="shared" ref="P463:P464" si="28">SUM(Q463:AB463)</f>
        <v>0</v>
      </c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  <c r="AA463" s="110"/>
      <c r="AB463" s="110"/>
    </row>
    <row r="464" spans="1:28" ht="24">
      <c r="A464" s="251">
        <v>40073937</v>
      </c>
      <c r="B464" s="217"/>
      <c r="C464" s="217"/>
      <c r="D464" s="96"/>
      <c r="E464" s="96" t="s">
        <v>966</v>
      </c>
      <c r="F464" s="241" t="s">
        <v>1036</v>
      </c>
      <c r="G464" s="236" t="s">
        <v>102</v>
      </c>
      <c r="H464" s="217" t="s">
        <v>1038</v>
      </c>
      <c r="I464" s="96">
        <v>2025</v>
      </c>
      <c r="J464" s="96">
        <v>15303</v>
      </c>
      <c r="K464" s="141">
        <v>593349</v>
      </c>
      <c r="L464" s="96" t="s">
        <v>214</v>
      </c>
      <c r="M464" s="100" t="s">
        <v>488</v>
      </c>
      <c r="N464" s="110"/>
      <c r="O464" s="110"/>
      <c r="P464" s="110">
        <f t="shared" si="28"/>
        <v>0</v>
      </c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  <c r="AA464" s="110"/>
      <c r="AB464" s="110"/>
    </row>
    <row r="465" spans="11:15">
      <c r="K465" s="6"/>
      <c r="N465" s="6"/>
      <c r="O465" s="6"/>
    </row>
    <row r="466" spans="11:15">
      <c r="K466" s="6"/>
      <c r="N466" s="6"/>
      <c r="O466" s="6"/>
    </row>
    <row r="467" spans="11:15">
      <c r="K467" s="6"/>
      <c r="N467" s="6"/>
      <c r="O467" s="6"/>
    </row>
    <row r="468" spans="11:15">
      <c r="K468" s="6"/>
      <c r="N468" s="6"/>
      <c r="O468" s="6"/>
    </row>
    <row r="469" spans="11:15">
      <c r="K469" s="6"/>
      <c r="N469" s="6"/>
      <c r="O469" s="6"/>
    </row>
    <row r="470" spans="11:15">
      <c r="K470" s="6"/>
      <c r="N470" s="6"/>
      <c r="O470" s="6"/>
    </row>
    <row r="471" spans="11:15">
      <c r="K471" s="6"/>
      <c r="N471" s="6"/>
      <c r="O471" s="6"/>
    </row>
    <row r="472" spans="11:15">
      <c r="K472" s="6"/>
      <c r="N472" s="6"/>
      <c r="O472" s="6"/>
    </row>
    <row r="473" spans="11:15">
      <c r="K473" s="6"/>
      <c r="N473" s="6"/>
      <c r="O473" s="6"/>
    </row>
    <row r="474" spans="11:15">
      <c r="K474" s="6"/>
      <c r="N474" s="6"/>
      <c r="O474" s="6"/>
    </row>
    <row r="475" spans="11:15">
      <c r="K475" s="6"/>
      <c r="N475" s="6"/>
      <c r="O475" s="6"/>
    </row>
    <row r="476" spans="11:15">
      <c r="K476" s="6"/>
      <c r="N476" s="6"/>
      <c r="O476" s="6"/>
    </row>
    <row r="477" spans="11:15">
      <c r="K477" s="6"/>
      <c r="N477" s="6"/>
      <c r="O477" s="6"/>
    </row>
    <row r="478" spans="11:15">
      <c r="K478" s="6"/>
      <c r="N478" s="6"/>
      <c r="O478" s="6"/>
    </row>
    <row r="479" spans="11:15">
      <c r="K479" s="6"/>
      <c r="N479" s="6"/>
      <c r="O479" s="6"/>
    </row>
    <row r="480" spans="11:15">
      <c r="K480" s="6"/>
      <c r="N480" s="6"/>
      <c r="O480" s="6"/>
    </row>
    <row r="481" spans="11:15">
      <c r="K481" s="6"/>
      <c r="N481" s="6"/>
      <c r="O481" s="6"/>
    </row>
    <row r="482" spans="11:15">
      <c r="K482" s="6"/>
      <c r="N482" s="6"/>
      <c r="O482" s="6"/>
    </row>
    <row r="483" spans="11:15">
      <c r="K483" s="6"/>
      <c r="N483" s="6"/>
      <c r="O483" s="6"/>
    </row>
    <row r="484" spans="11:15">
      <c r="K484" s="6"/>
      <c r="N484" s="6"/>
      <c r="O484" s="6"/>
    </row>
    <row r="485" spans="11:15">
      <c r="K485" s="6"/>
      <c r="N485" s="6"/>
      <c r="O485" s="6"/>
    </row>
    <row r="486" spans="11:15">
      <c r="K486" s="6"/>
      <c r="N486" s="6"/>
      <c r="O486" s="6"/>
    </row>
    <row r="487" spans="11:15">
      <c r="K487" s="6"/>
      <c r="N487" s="6"/>
      <c r="O487" s="6"/>
    </row>
    <row r="488" spans="11:15">
      <c r="K488" s="6"/>
      <c r="N488" s="6"/>
      <c r="O488" s="6"/>
    </row>
    <row r="489" spans="11:15">
      <c r="K489" s="6"/>
      <c r="O489" s="135"/>
    </row>
    <row r="490" spans="11:15">
      <c r="K490" s="6"/>
      <c r="O490" s="135"/>
    </row>
    <row r="491" spans="11:15">
      <c r="K491" s="6"/>
      <c r="O491" s="135"/>
    </row>
    <row r="492" spans="11:15">
      <c r="K492" s="6"/>
      <c r="O492" s="135"/>
    </row>
    <row r="493" spans="11:15">
      <c r="K493" s="6"/>
      <c r="O493" s="135"/>
    </row>
    <row r="494" spans="11:15">
      <c r="K494" s="6"/>
      <c r="O494" s="135"/>
    </row>
    <row r="495" spans="11:15">
      <c r="K495" s="6"/>
      <c r="O495" s="135"/>
    </row>
    <row r="496" spans="11:15">
      <c r="K496" s="6"/>
      <c r="O496" s="135"/>
    </row>
    <row r="497" spans="11:15">
      <c r="K497" s="6"/>
      <c r="O497" s="135"/>
    </row>
    <row r="498" spans="11:15">
      <c r="K498" s="6"/>
      <c r="O498" s="135"/>
    </row>
    <row r="499" spans="11:15">
      <c r="K499" s="6"/>
      <c r="O499" s="135"/>
    </row>
    <row r="500" spans="11:15">
      <c r="K500" s="6"/>
      <c r="O500" s="135"/>
    </row>
    <row r="501" spans="11:15">
      <c r="K501" s="6"/>
      <c r="O501" s="135"/>
    </row>
    <row r="502" spans="11:15">
      <c r="K502" s="6"/>
      <c r="O502" s="135"/>
    </row>
    <row r="503" spans="11:15">
      <c r="K503" s="6"/>
      <c r="O503" s="135"/>
    </row>
    <row r="504" spans="11:15">
      <c r="K504" s="6"/>
      <c r="O504" s="135"/>
    </row>
    <row r="505" spans="11:15">
      <c r="K505" s="6"/>
      <c r="O505" s="135"/>
    </row>
    <row r="506" spans="11:15">
      <c r="K506" s="6"/>
      <c r="O506" s="135"/>
    </row>
    <row r="507" spans="11:15">
      <c r="K507" s="6"/>
      <c r="O507" s="135"/>
    </row>
    <row r="508" spans="11:15">
      <c r="K508" s="6"/>
      <c r="O508" s="135"/>
    </row>
    <row r="509" spans="11:15">
      <c r="K509" s="6"/>
      <c r="O509" s="135"/>
    </row>
    <row r="510" spans="11:15">
      <c r="K510" s="6"/>
      <c r="O510" s="135"/>
    </row>
    <row r="511" spans="11:15">
      <c r="K511" s="6"/>
      <c r="O511" s="135"/>
    </row>
    <row r="512" spans="11:15">
      <c r="K512" s="6"/>
      <c r="O512" s="135"/>
    </row>
    <row r="513" spans="11:15">
      <c r="K513" s="6"/>
      <c r="O513" s="135"/>
    </row>
    <row r="514" spans="11:15">
      <c r="K514" s="6"/>
      <c r="O514" s="135"/>
    </row>
    <row r="515" spans="11:15">
      <c r="K515" s="6"/>
      <c r="O515" s="135"/>
    </row>
    <row r="516" spans="11:15">
      <c r="K516" s="6"/>
      <c r="O516" s="135"/>
    </row>
    <row r="517" spans="11:15">
      <c r="K517" s="6"/>
      <c r="O517" s="135"/>
    </row>
    <row r="518" spans="11:15">
      <c r="K518" s="6"/>
      <c r="O518" s="135"/>
    </row>
    <row r="519" spans="11:15">
      <c r="K519" s="6"/>
      <c r="O519" s="135"/>
    </row>
    <row r="520" spans="11:15">
      <c r="K520" s="6"/>
      <c r="O520" s="135"/>
    </row>
    <row r="521" spans="11:15">
      <c r="K521" s="6"/>
      <c r="O521" s="135"/>
    </row>
    <row r="522" spans="11:15">
      <c r="K522" s="6"/>
      <c r="O522" s="135"/>
    </row>
    <row r="523" spans="11:15">
      <c r="K523" s="6"/>
      <c r="O523" s="135"/>
    </row>
    <row r="524" spans="11:15">
      <c r="K524" s="6"/>
      <c r="O524" s="135"/>
    </row>
    <row r="525" spans="11:15">
      <c r="K525" s="6"/>
      <c r="O525" s="135"/>
    </row>
    <row r="526" spans="11:15">
      <c r="K526" s="6"/>
      <c r="O526" s="135"/>
    </row>
    <row r="527" spans="11:15">
      <c r="K527" s="6"/>
      <c r="O527" s="135"/>
    </row>
    <row r="528" spans="11:15">
      <c r="K528" s="6"/>
      <c r="O528" s="135"/>
    </row>
    <row r="529" spans="11:15">
      <c r="K529" s="6"/>
      <c r="O529" s="135"/>
    </row>
    <row r="530" spans="11:15">
      <c r="K530" s="6"/>
      <c r="O530" s="135"/>
    </row>
    <row r="531" spans="11:15">
      <c r="K531" s="6"/>
      <c r="O531" s="135"/>
    </row>
    <row r="532" spans="11:15">
      <c r="K532" s="6"/>
      <c r="O532" s="135"/>
    </row>
    <row r="533" spans="11:15">
      <c r="K533" s="6"/>
      <c r="O533" s="135"/>
    </row>
    <row r="534" spans="11:15">
      <c r="K534" s="6"/>
      <c r="O534" s="135"/>
    </row>
    <row r="535" spans="11:15">
      <c r="K535" s="6"/>
      <c r="O535" s="135"/>
    </row>
    <row r="536" spans="11:15">
      <c r="K536" s="6"/>
      <c r="O536" s="135"/>
    </row>
    <row r="537" spans="11:15">
      <c r="K537" s="6"/>
      <c r="O537" s="135"/>
    </row>
    <row r="538" spans="11:15">
      <c r="K538" s="6"/>
      <c r="O538" s="135"/>
    </row>
    <row r="539" spans="11:15">
      <c r="K539" s="6"/>
      <c r="O539" s="135"/>
    </row>
    <row r="540" spans="11:15">
      <c r="K540" s="6"/>
      <c r="O540" s="135"/>
    </row>
    <row r="541" spans="11:15">
      <c r="K541" s="6"/>
      <c r="O541" s="135"/>
    </row>
    <row r="542" spans="11:15">
      <c r="K542" s="6"/>
      <c r="O542" s="135"/>
    </row>
    <row r="543" spans="11:15">
      <c r="K543" s="6"/>
      <c r="O543" s="135"/>
    </row>
    <row r="544" spans="11:15">
      <c r="K544" s="6"/>
      <c r="O544" s="135"/>
    </row>
    <row r="545" spans="11:15">
      <c r="K545" s="6"/>
      <c r="O545" s="135"/>
    </row>
    <row r="546" spans="11:15">
      <c r="K546" s="6"/>
      <c r="O546" s="135"/>
    </row>
    <row r="547" spans="11:15">
      <c r="K547" s="6"/>
      <c r="O547" s="135"/>
    </row>
    <row r="548" spans="11:15">
      <c r="K548" s="6"/>
      <c r="O548" s="135"/>
    </row>
    <row r="549" spans="11:15">
      <c r="K549" s="6"/>
      <c r="O549" s="135"/>
    </row>
    <row r="550" spans="11:15">
      <c r="K550" s="6"/>
      <c r="O550" s="135"/>
    </row>
    <row r="551" spans="11:15">
      <c r="K551" s="6"/>
      <c r="O551" s="135"/>
    </row>
    <row r="552" spans="11:15">
      <c r="K552" s="6"/>
      <c r="O552" s="135"/>
    </row>
    <row r="553" spans="11:15">
      <c r="K553" s="6"/>
      <c r="O553" s="135"/>
    </row>
    <row r="554" spans="11:15">
      <c r="K554" s="6"/>
      <c r="O554" s="135"/>
    </row>
    <row r="555" spans="11:15">
      <c r="K555" s="6"/>
      <c r="O555" s="135"/>
    </row>
    <row r="556" spans="11:15">
      <c r="K556" s="6"/>
      <c r="O556" s="135"/>
    </row>
    <row r="557" spans="11:15">
      <c r="K557" s="6"/>
      <c r="O557" s="135"/>
    </row>
    <row r="558" spans="11:15">
      <c r="K558" s="6"/>
      <c r="O558" s="135"/>
    </row>
    <row r="559" spans="11:15">
      <c r="K559" s="6"/>
      <c r="O559" s="135"/>
    </row>
    <row r="560" spans="11:15">
      <c r="K560" s="6"/>
      <c r="O560" s="135"/>
    </row>
    <row r="561" spans="11:15">
      <c r="K561" s="6"/>
      <c r="O561" s="135"/>
    </row>
    <row r="562" spans="11:15">
      <c r="K562" s="6"/>
      <c r="O562" s="135"/>
    </row>
    <row r="563" spans="11:15">
      <c r="K563" s="6"/>
      <c r="O563" s="135"/>
    </row>
    <row r="564" spans="11:15">
      <c r="K564" s="6"/>
      <c r="O564" s="135"/>
    </row>
    <row r="565" spans="11:15">
      <c r="K565" s="6"/>
      <c r="O565" s="135"/>
    </row>
    <row r="566" spans="11:15">
      <c r="K566" s="6"/>
      <c r="O566" s="135"/>
    </row>
    <row r="567" spans="11:15">
      <c r="K567" s="6"/>
      <c r="O567" s="135"/>
    </row>
    <row r="568" spans="11:15">
      <c r="K568" s="6"/>
      <c r="O568" s="135"/>
    </row>
    <row r="569" spans="11:15">
      <c r="K569" s="6"/>
      <c r="O569" s="135"/>
    </row>
    <row r="570" spans="11:15">
      <c r="K570" s="6"/>
      <c r="O570" s="135"/>
    </row>
    <row r="571" spans="11:15">
      <c r="K571" s="6"/>
      <c r="O571" s="135"/>
    </row>
    <row r="572" spans="11:15">
      <c r="K572" s="6"/>
      <c r="O572" s="135"/>
    </row>
    <row r="573" spans="11:15">
      <c r="K573" s="6"/>
      <c r="O573" s="135"/>
    </row>
    <row r="574" spans="11:15">
      <c r="K574" s="6"/>
      <c r="O574" s="135"/>
    </row>
    <row r="575" spans="11:15">
      <c r="K575" s="6"/>
      <c r="O575" s="135"/>
    </row>
    <row r="576" spans="11:15">
      <c r="K576" s="6"/>
      <c r="O576" s="135"/>
    </row>
    <row r="577" spans="11:15">
      <c r="K577" s="6"/>
      <c r="O577" s="135"/>
    </row>
    <row r="578" spans="11:15">
      <c r="K578" s="6"/>
      <c r="O578" s="135"/>
    </row>
    <row r="579" spans="11:15">
      <c r="K579" s="6"/>
      <c r="O579" s="135"/>
    </row>
    <row r="580" spans="11:15">
      <c r="K580" s="6"/>
      <c r="O580" s="135"/>
    </row>
    <row r="581" spans="11:15">
      <c r="K581" s="6"/>
      <c r="O581" s="135"/>
    </row>
    <row r="582" spans="11:15">
      <c r="K582" s="6"/>
      <c r="O582" s="135"/>
    </row>
    <row r="583" spans="11:15">
      <c r="K583" s="6"/>
      <c r="O583" s="135"/>
    </row>
    <row r="584" spans="11:15">
      <c r="K584" s="6"/>
      <c r="O584" s="135"/>
    </row>
    <row r="585" spans="11:15">
      <c r="K585" s="6"/>
      <c r="O585" s="135"/>
    </row>
    <row r="586" spans="11:15">
      <c r="K586" s="6"/>
      <c r="O586" s="135"/>
    </row>
    <row r="587" spans="11:15">
      <c r="K587" s="6"/>
      <c r="O587" s="135"/>
    </row>
    <row r="588" spans="11:15">
      <c r="K588" s="6"/>
      <c r="O588" s="135"/>
    </row>
    <row r="589" spans="11:15">
      <c r="K589" s="6"/>
      <c r="O589" s="135"/>
    </row>
    <row r="590" spans="11:15">
      <c r="K590" s="6"/>
      <c r="O590" s="135"/>
    </row>
    <row r="591" spans="11:15">
      <c r="K591" s="6"/>
      <c r="O591" s="135"/>
    </row>
    <row r="592" spans="11:15">
      <c r="K592" s="6"/>
      <c r="O592" s="135"/>
    </row>
    <row r="593" spans="11:15">
      <c r="K593" s="6"/>
      <c r="O593" s="135"/>
    </row>
    <row r="594" spans="11:15">
      <c r="K594" s="6"/>
      <c r="O594" s="135"/>
    </row>
    <row r="595" spans="11:15">
      <c r="K595" s="6"/>
      <c r="O595" s="135"/>
    </row>
    <row r="596" spans="11:15">
      <c r="K596" s="6"/>
      <c r="O596" s="135"/>
    </row>
    <row r="597" spans="11:15">
      <c r="K597" s="6"/>
      <c r="O597" s="135"/>
    </row>
    <row r="598" spans="11:15">
      <c r="K598" s="6"/>
      <c r="O598" s="135"/>
    </row>
    <row r="599" spans="11:15">
      <c r="K599" s="6"/>
      <c r="O599" s="135"/>
    </row>
    <row r="600" spans="11:15">
      <c r="K600" s="6"/>
      <c r="O600" s="135"/>
    </row>
    <row r="601" spans="11:15">
      <c r="K601" s="6"/>
      <c r="O601" s="135"/>
    </row>
    <row r="602" spans="11:15">
      <c r="K602" s="6"/>
      <c r="O602" s="135"/>
    </row>
    <row r="603" spans="11:15">
      <c r="K603" s="6"/>
      <c r="O603" s="135"/>
    </row>
    <row r="604" spans="11:15">
      <c r="K604" s="6"/>
      <c r="O604" s="135"/>
    </row>
    <row r="605" spans="11:15">
      <c r="K605" s="6"/>
      <c r="O605" s="135"/>
    </row>
    <row r="606" spans="11:15">
      <c r="K606" s="6"/>
      <c r="O606" s="135"/>
    </row>
    <row r="607" spans="11:15">
      <c r="K607" s="6"/>
      <c r="O607" s="135"/>
    </row>
    <row r="608" spans="11:15">
      <c r="K608" s="6"/>
      <c r="O608" s="135"/>
    </row>
    <row r="609" spans="11:15">
      <c r="K609" s="6"/>
      <c r="O609" s="135"/>
    </row>
    <row r="610" spans="11:15">
      <c r="K610" s="6"/>
      <c r="O610" s="135"/>
    </row>
    <row r="611" spans="11:15">
      <c r="K611" s="6"/>
      <c r="O611" s="135"/>
    </row>
    <row r="612" spans="11:15">
      <c r="K612" s="6"/>
      <c r="O612" s="135"/>
    </row>
    <row r="613" spans="11:15">
      <c r="K613" s="6"/>
      <c r="O613" s="135"/>
    </row>
    <row r="614" spans="11:15">
      <c r="K614" s="6"/>
      <c r="O614" s="135"/>
    </row>
    <row r="615" spans="11:15">
      <c r="K615" s="6"/>
      <c r="O615" s="135"/>
    </row>
    <row r="616" spans="11:15">
      <c r="K616" s="6"/>
      <c r="O616" s="135"/>
    </row>
    <row r="617" spans="11:15">
      <c r="K617" s="6"/>
      <c r="O617" s="135"/>
    </row>
    <row r="618" spans="11:15">
      <c r="K618" s="6"/>
      <c r="O618" s="135"/>
    </row>
    <row r="619" spans="11:15">
      <c r="K619" s="6"/>
      <c r="O619" s="135"/>
    </row>
    <row r="620" spans="11:15">
      <c r="K620" s="6"/>
      <c r="O620" s="135"/>
    </row>
    <row r="621" spans="11:15">
      <c r="K621" s="6"/>
      <c r="O621" s="135"/>
    </row>
    <row r="622" spans="11:15">
      <c r="K622" s="6"/>
      <c r="O622" s="135"/>
    </row>
    <row r="623" spans="11:15">
      <c r="K623" s="6"/>
      <c r="O623" s="135"/>
    </row>
    <row r="624" spans="11:15">
      <c r="K624" s="6"/>
      <c r="O624" s="135"/>
    </row>
    <row r="625" spans="11:15">
      <c r="K625" s="6"/>
      <c r="O625" s="135"/>
    </row>
    <row r="626" spans="11:15">
      <c r="K626" s="6"/>
      <c r="O626" s="135"/>
    </row>
    <row r="627" spans="11:15">
      <c r="K627" s="6"/>
      <c r="O627" s="135"/>
    </row>
    <row r="628" spans="11:15">
      <c r="K628" s="6"/>
      <c r="O628" s="135"/>
    </row>
    <row r="629" spans="11:15">
      <c r="K629" s="6"/>
      <c r="O629" s="135"/>
    </row>
    <row r="630" spans="11:15">
      <c r="K630" s="6"/>
      <c r="O630" s="135"/>
    </row>
    <row r="631" spans="11:15">
      <c r="K631" s="6"/>
      <c r="O631" s="135"/>
    </row>
    <row r="632" spans="11:15">
      <c r="K632" s="6"/>
      <c r="O632" s="135"/>
    </row>
    <row r="633" spans="11:15">
      <c r="K633" s="6"/>
      <c r="O633" s="135"/>
    </row>
    <row r="634" spans="11:15">
      <c r="K634" s="6"/>
      <c r="O634" s="135"/>
    </row>
    <row r="635" spans="11:15">
      <c r="K635" s="6"/>
      <c r="O635" s="135"/>
    </row>
    <row r="636" spans="11:15">
      <c r="K636" s="6"/>
      <c r="O636" s="135"/>
    </row>
    <row r="637" spans="11:15">
      <c r="K637" s="6"/>
      <c r="O637" s="135"/>
    </row>
    <row r="638" spans="11:15">
      <c r="K638" s="6"/>
      <c r="O638" s="135"/>
    </row>
    <row r="639" spans="11:15">
      <c r="K639" s="6"/>
      <c r="O639" s="135"/>
    </row>
    <row r="640" spans="11:15">
      <c r="K640" s="6"/>
      <c r="O640" s="135"/>
    </row>
    <row r="641" spans="11:15">
      <c r="K641" s="6"/>
      <c r="O641" s="135"/>
    </row>
    <row r="642" spans="11:15">
      <c r="K642" s="6"/>
      <c r="O642" s="135"/>
    </row>
    <row r="643" spans="11:15">
      <c r="K643" s="6"/>
      <c r="O643" s="135"/>
    </row>
    <row r="644" spans="11:15">
      <c r="K644" s="6"/>
      <c r="O644" s="135"/>
    </row>
    <row r="645" spans="11:15">
      <c r="K645" s="6"/>
      <c r="O645" s="135"/>
    </row>
    <row r="646" spans="11:15">
      <c r="K646" s="6"/>
      <c r="O646" s="135"/>
    </row>
    <row r="647" spans="11:15">
      <c r="K647" s="6"/>
      <c r="O647" s="135"/>
    </row>
    <row r="648" spans="11:15">
      <c r="K648" s="6"/>
      <c r="O648" s="135"/>
    </row>
    <row r="649" spans="11:15">
      <c r="K649" s="6"/>
      <c r="O649" s="135"/>
    </row>
    <row r="650" spans="11:15">
      <c r="K650" s="6"/>
      <c r="O650" s="135"/>
    </row>
    <row r="651" spans="11:15">
      <c r="K651" s="6"/>
      <c r="O651" s="135"/>
    </row>
    <row r="652" spans="11:15">
      <c r="K652" s="6"/>
      <c r="O652" s="135"/>
    </row>
    <row r="653" spans="11:15">
      <c r="K653" s="6"/>
      <c r="O653" s="135"/>
    </row>
    <row r="654" spans="11:15">
      <c r="K654" s="6"/>
      <c r="O654" s="135"/>
    </row>
    <row r="655" spans="11:15">
      <c r="K655" s="6"/>
      <c r="O655" s="135"/>
    </row>
    <row r="656" spans="11:15">
      <c r="K656" s="6"/>
      <c r="O656" s="135"/>
    </row>
    <row r="657" spans="11:15">
      <c r="K657" s="6"/>
      <c r="O657" s="135"/>
    </row>
    <row r="658" spans="11:15">
      <c r="K658" s="6"/>
      <c r="O658" s="135"/>
    </row>
    <row r="659" spans="11:15">
      <c r="K659" s="6"/>
      <c r="O659" s="135"/>
    </row>
    <row r="660" spans="11:15">
      <c r="K660" s="6"/>
      <c r="O660" s="135"/>
    </row>
    <row r="661" spans="11:15">
      <c r="K661" s="6"/>
      <c r="O661" s="135"/>
    </row>
    <row r="662" spans="11:15">
      <c r="K662" s="6"/>
      <c r="O662" s="135"/>
    </row>
    <row r="663" spans="11:15">
      <c r="K663" s="6"/>
      <c r="O663" s="135"/>
    </row>
    <row r="664" spans="11:15">
      <c r="K664" s="6"/>
      <c r="O664" s="135"/>
    </row>
    <row r="665" spans="11:15">
      <c r="K665" s="6"/>
      <c r="O665" s="135"/>
    </row>
    <row r="666" spans="11:15">
      <c r="K666" s="6"/>
      <c r="O666" s="135"/>
    </row>
    <row r="667" spans="11:15">
      <c r="K667" s="6"/>
      <c r="O667" s="135"/>
    </row>
    <row r="668" spans="11:15">
      <c r="K668" s="6"/>
      <c r="O668" s="135"/>
    </row>
    <row r="669" spans="11:15">
      <c r="K669" s="6"/>
      <c r="O669" s="135"/>
    </row>
    <row r="670" spans="11:15">
      <c r="K670" s="6"/>
      <c r="O670" s="135"/>
    </row>
    <row r="671" spans="11:15">
      <c r="K671" s="6"/>
      <c r="O671" s="135"/>
    </row>
    <row r="672" spans="11:15">
      <c r="K672" s="6"/>
      <c r="O672" s="135"/>
    </row>
    <row r="673" spans="11:15">
      <c r="K673" s="6"/>
      <c r="O673" s="135"/>
    </row>
    <row r="674" spans="11:15">
      <c r="K674" s="6"/>
      <c r="O674" s="135"/>
    </row>
    <row r="675" spans="11:15">
      <c r="K675" s="6"/>
      <c r="O675" s="135"/>
    </row>
    <row r="676" spans="11:15">
      <c r="K676" s="6"/>
      <c r="O676" s="135"/>
    </row>
    <row r="677" spans="11:15">
      <c r="K677" s="6"/>
      <c r="O677" s="135"/>
    </row>
    <row r="678" spans="11:15">
      <c r="K678" s="6"/>
      <c r="O678" s="135"/>
    </row>
    <row r="679" spans="11:15">
      <c r="K679" s="6"/>
      <c r="O679" s="135"/>
    </row>
    <row r="680" spans="11:15">
      <c r="K680" s="6"/>
      <c r="O680" s="135"/>
    </row>
    <row r="681" spans="11:15">
      <c r="K681" s="6"/>
      <c r="O681" s="135"/>
    </row>
    <row r="682" spans="11:15">
      <c r="K682" s="6"/>
      <c r="O682" s="135"/>
    </row>
    <row r="683" spans="11:15">
      <c r="K683" s="6"/>
      <c r="O683" s="135"/>
    </row>
    <row r="684" spans="11:15">
      <c r="K684" s="6"/>
      <c r="O684" s="135"/>
    </row>
    <row r="685" spans="11:15">
      <c r="K685" s="6"/>
      <c r="O685" s="135"/>
    </row>
    <row r="686" spans="11:15">
      <c r="K686" s="6"/>
      <c r="O686" s="135"/>
    </row>
    <row r="687" spans="11:15">
      <c r="K687" s="6"/>
      <c r="O687" s="135"/>
    </row>
    <row r="688" spans="11:15">
      <c r="K688" s="6"/>
      <c r="O688" s="135"/>
    </row>
    <row r="689" spans="11:15">
      <c r="K689" s="6"/>
      <c r="O689" s="135"/>
    </row>
    <row r="690" spans="11:15">
      <c r="K690" s="6"/>
      <c r="O690" s="135"/>
    </row>
    <row r="691" spans="11:15">
      <c r="K691" s="6"/>
      <c r="O691" s="135"/>
    </row>
    <row r="692" spans="11:15">
      <c r="K692" s="6"/>
      <c r="O692" s="135"/>
    </row>
    <row r="693" spans="11:15">
      <c r="K693" s="6"/>
      <c r="O693" s="135"/>
    </row>
    <row r="694" spans="11:15">
      <c r="K694" s="6"/>
      <c r="O694" s="135"/>
    </row>
    <row r="695" spans="11:15">
      <c r="K695" s="6"/>
      <c r="O695" s="135"/>
    </row>
    <row r="696" spans="11:15">
      <c r="K696" s="6"/>
      <c r="O696" s="135"/>
    </row>
    <row r="697" spans="11:15">
      <c r="K697" s="6"/>
      <c r="O697" s="135"/>
    </row>
    <row r="698" spans="11:15">
      <c r="K698" s="6"/>
      <c r="O698" s="135"/>
    </row>
    <row r="699" spans="11:15">
      <c r="K699" s="6"/>
      <c r="O699" s="135"/>
    </row>
    <row r="700" spans="11:15">
      <c r="K700" s="6"/>
      <c r="O700" s="135"/>
    </row>
    <row r="701" spans="11:15">
      <c r="K701" s="6"/>
      <c r="O701" s="135"/>
    </row>
    <row r="702" spans="11:15">
      <c r="K702" s="6"/>
      <c r="O702" s="135"/>
    </row>
    <row r="703" spans="11:15">
      <c r="K703" s="6"/>
      <c r="O703" s="135"/>
    </row>
    <row r="704" spans="11:15">
      <c r="K704" s="6"/>
      <c r="O704" s="135"/>
    </row>
    <row r="705" spans="11:15">
      <c r="K705" s="6"/>
      <c r="O705" s="135"/>
    </row>
    <row r="706" spans="11:15">
      <c r="K706" s="6"/>
      <c r="O706" s="135"/>
    </row>
    <row r="707" spans="11:15">
      <c r="K707" s="6"/>
      <c r="O707" s="135"/>
    </row>
    <row r="708" spans="11:15">
      <c r="K708" s="6"/>
      <c r="O708" s="135"/>
    </row>
    <row r="709" spans="11:15">
      <c r="K709" s="6"/>
      <c r="O709" s="135"/>
    </row>
    <row r="710" spans="11:15">
      <c r="K710" s="6"/>
      <c r="O710" s="135"/>
    </row>
    <row r="711" spans="11:15">
      <c r="K711" s="6"/>
      <c r="O711" s="135"/>
    </row>
    <row r="712" spans="11:15">
      <c r="K712" s="6"/>
      <c r="O712" s="135"/>
    </row>
    <row r="713" spans="11:15">
      <c r="K713" s="6"/>
      <c r="O713" s="135"/>
    </row>
    <row r="714" spans="11:15">
      <c r="K714" s="6"/>
      <c r="O714" s="135"/>
    </row>
    <row r="715" spans="11:15">
      <c r="K715" s="6"/>
      <c r="O715" s="135"/>
    </row>
    <row r="716" spans="11:15">
      <c r="K716" s="6"/>
      <c r="O716" s="135"/>
    </row>
    <row r="717" spans="11:15">
      <c r="K717" s="6"/>
      <c r="O717" s="135"/>
    </row>
    <row r="718" spans="11:15">
      <c r="K718" s="6"/>
      <c r="O718" s="135"/>
    </row>
    <row r="719" spans="11:15">
      <c r="K719" s="6"/>
      <c r="O719" s="135"/>
    </row>
    <row r="720" spans="11:15">
      <c r="K720" s="6"/>
      <c r="O720" s="135"/>
    </row>
    <row r="721" spans="11:15">
      <c r="K721" s="6"/>
      <c r="O721" s="135"/>
    </row>
    <row r="722" spans="11:15">
      <c r="K722" s="6"/>
      <c r="O722" s="135"/>
    </row>
    <row r="723" spans="11:15">
      <c r="K723" s="6"/>
      <c r="O723" s="135"/>
    </row>
    <row r="724" spans="11:15">
      <c r="K724" s="6"/>
      <c r="O724" s="135"/>
    </row>
    <row r="725" spans="11:15">
      <c r="K725" s="6"/>
      <c r="O725" s="135"/>
    </row>
    <row r="726" spans="11:15">
      <c r="K726" s="6"/>
      <c r="O726" s="135"/>
    </row>
    <row r="727" spans="11:15">
      <c r="K727" s="6"/>
      <c r="O727" s="135"/>
    </row>
    <row r="728" spans="11:15">
      <c r="K728" s="6"/>
      <c r="O728" s="135"/>
    </row>
    <row r="729" spans="11:15">
      <c r="K729" s="6"/>
      <c r="O729" s="135"/>
    </row>
    <row r="730" spans="11:15">
      <c r="K730" s="6"/>
      <c r="O730" s="135"/>
    </row>
    <row r="731" spans="11:15">
      <c r="K731" s="6"/>
      <c r="O731" s="135"/>
    </row>
    <row r="732" spans="11:15">
      <c r="K732" s="6"/>
      <c r="O732" s="135"/>
    </row>
    <row r="733" spans="11:15">
      <c r="K733" s="6"/>
      <c r="O733" s="135"/>
    </row>
    <row r="734" spans="11:15">
      <c r="K734" s="6"/>
      <c r="O734" s="135"/>
    </row>
    <row r="735" spans="11:15">
      <c r="K735" s="6"/>
      <c r="O735" s="135"/>
    </row>
    <row r="736" spans="11:15">
      <c r="K736" s="6"/>
      <c r="O736" s="135"/>
    </row>
    <row r="737" spans="11:15">
      <c r="K737" s="6"/>
      <c r="O737" s="135"/>
    </row>
    <row r="738" spans="11:15">
      <c r="K738" s="6"/>
      <c r="O738" s="135"/>
    </row>
    <row r="739" spans="11:15">
      <c r="K739" s="6"/>
      <c r="O739" s="135"/>
    </row>
    <row r="740" spans="11:15">
      <c r="K740" s="6"/>
      <c r="O740" s="135"/>
    </row>
    <row r="741" spans="11:15">
      <c r="K741" s="6"/>
      <c r="O741" s="135"/>
    </row>
    <row r="742" spans="11:15">
      <c r="K742" s="6"/>
      <c r="O742" s="135"/>
    </row>
    <row r="743" spans="11:15">
      <c r="K743" s="6"/>
      <c r="O743" s="135"/>
    </row>
    <row r="744" spans="11:15">
      <c r="K744" s="6"/>
      <c r="O744" s="135"/>
    </row>
    <row r="745" spans="11:15">
      <c r="K745" s="6"/>
      <c r="O745" s="135"/>
    </row>
    <row r="746" spans="11:15">
      <c r="K746" s="6"/>
      <c r="O746" s="135"/>
    </row>
    <row r="747" spans="11:15">
      <c r="K747" s="6"/>
      <c r="O747" s="135"/>
    </row>
    <row r="748" spans="11:15">
      <c r="K748" s="6"/>
      <c r="O748" s="135"/>
    </row>
    <row r="749" spans="11:15">
      <c r="K749" s="6"/>
      <c r="O749" s="135"/>
    </row>
    <row r="750" spans="11:15">
      <c r="K750" s="6"/>
      <c r="O750" s="135"/>
    </row>
    <row r="751" spans="11:15">
      <c r="K751" s="6"/>
      <c r="O751" s="135"/>
    </row>
    <row r="752" spans="11:15">
      <c r="K752" s="6"/>
      <c r="O752" s="135"/>
    </row>
    <row r="753" spans="11:15">
      <c r="K753" s="6"/>
      <c r="O753" s="135"/>
    </row>
    <row r="754" spans="11:15">
      <c r="K754" s="6"/>
      <c r="O754" s="135"/>
    </row>
    <row r="755" spans="11:15">
      <c r="K755" s="6"/>
      <c r="O755" s="135"/>
    </row>
    <row r="756" spans="11:15">
      <c r="K756" s="6"/>
      <c r="O756" s="135"/>
    </row>
    <row r="757" spans="11:15">
      <c r="K757" s="6"/>
      <c r="O757" s="135"/>
    </row>
    <row r="758" spans="11:15">
      <c r="K758" s="6"/>
      <c r="O758" s="135"/>
    </row>
    <row r="759" spans="11:15">
      <c r="K759" s="6"/>
      <c r="O759" s="135"/>
    </row>
    <row r="760" spans="11:15">
      <c r="K760" s="6"/>
      <c r="O760" s="135"/>
    </row>
    <row r="761" spans="11:15">
      <c r="K761" s="6"/>
      <c r="O761" s="135"/>
    </row>
    <row r="762" spans="11:15">
      <c r="K762" s="6"/>
      <c r="O762" s="135"/>
    </row>
    <row r="763" spans="11:15">
      <c r="K763" s="6"/>
      <c r="O763" s="135"/>
    </row>
    <row r="764" spans="11:15">
      <c r="K764" s="6"/>
      <c r="O764" s="135"/>
    </row>
    <row r="765" spans="11:15">
      <c r="K765" s="6"/>
      <c r="O765" s="135"/>
    </row>
    <row r="766" spans="11:15">
      <c r="K766" s="6"/>
      <c r="O766" s="135"/>
    </row>
    <row r="767" spans="11:15">
      <c r="K767" s="6"/>
      <c r="O767" s="135"/>
    </row>
    <row r="768" spans="11:15">
      <c r="K768" s="6"/>
      <c r="O768" s="135"/>
    </row>
    <row r="769" spans="11:15">
      <c r="K769" s="6"/>
      <c r="O769" s="135"/>
    </row>
    <row r="770" spans="11:15">
      <c r="K770" s="6"/>
      <c r="O770" s="135"/>
    </row>
    <row r="771" spans="11:15">
      <c r="O771" s="135"/>
    </row>
    <row r="772" spans="11:15">
      <c r="O772" s="135"/>
    </row>
    <row r="773" spans="11:15">
      <c r="O773" s="135"/>
    </row>
    <row r="774" spans="11:15">
      <c r="O774" s="135"/>
    </row>
    <row r="775" spans="11:15">
      <c r="O775" s="135"/>
    </row>
    <row r="776" spans="11:15">
      <c r="O776" s="135"/>
    </row>
    <row r="777" spans="11:15">
      <c r="O777" s="135"/>
    </row>
    <row r="778" spans="11:15">
      <c r="O778" s="135"/>
    </row>
    <row r="779" spans="11:15">
      <c r="O779" s="135"/>
    </row>
    <row r="780" spans="11:15">
      <c r="O780" s="135"/>
    </row>
    <row r="781" spans="11:15">
      <c r="O781" s="135"/>
    </row>
    <row r="782" spans="11:15">
      <c r="O782" s="135"/>
    </row>
    <row r="783" spans="11:15">
      <c r="O783" s="135"/>
    </row>
    <row r="784" spans="11:15">
      <c r="O784" s="135"/>
    </row>
    <row r="785" spans="15:15">
      <c r="O785" s="135"/>
    </row>
    <row r="786" spans="15:15">
      <c r="O786" s="135"/>
    </row>
    <row r="787" spans="15:15">
      <c r="O787" s="135"/>
    </row>
    <row r="788" spans="15:15">
      <c r="O788" s="135"/>
    </row>
    <row r="789" spans="15:15">
      <c r="O789" s="135"/>
    </row>
    <row r="790" spans="15:15">
      <c r="O790" s="135"/>
    </row>
    <row r="791" spans="15:15">
      <c r="O791" s="135"/>
    </row>
    <row r="792" spans="15:15">
      <c r="O792" s="135"/>
    </row>
    <row r="793" spans="15:15">
      <c r="O793" s="135"/>
    </row>
    <row r="794" spans="15:15">
      <c r="O794" s="135"/>
    </row>
    <row r="795" spans="15:15">
      <c r="O795" s="135"/>
    </row>
    <row r="796" spans="15:15">
      <c r="O796" s="135"/>
    </row>
    <row r="797" spans="15:15">
      <c r="O797" s="135"/>
    </row>
    <row r="798" spans="15:15">
      <c r="O798" s="135"/>
    </row>
    <row r="799" spans="15:15">
      <c r="O799" s="135"/>
    </row>
    <row r="800" spans="15:15">
      <c r="O800" s="135"/>
    </row>
    <row r="801" spans="15:15">
      <c r="O801" s="135"/>
    </row>
    <row r="802" spans="15:15">
      <c r="O802" s="135"/>
    </row>
    <row r="803" spans="15:15">
      <c r="O803" s="135"/>
    </row>
    <row r="804" spans="15:15">
      <c r="O804" s="135"/>
    </row>
    <row r="805" spans="15:15">
      <c r="O805" s="135"/>
    </row>
    <row r="806" spans="15:15">
      <c r="O806" s="135"/>
    </row>
    <row r="807" spans="15:15">
      <c r="O807" s="135"/>
    </row>
    <row r="808" spans="15:15">
      <c r="O808" s="135"/>
    </row>
    <row r="809" spans="15:15">
      <c r="O809" s="135"/>
    </row>
    <row r="810" spans="15:15">
      <c r="O810" s="135"/>
    </row>
    <row r="811" spans="15:15">
      <c r="O811" s="135"/>
    </row>
    <row r="812" spans="15:15">
      <c r="O812" s="135"/>
    </row>
    <row r="813" spans="15:15">
      <c r="O813" s="135"/>
    </row>
    <row r="814" spans="15:15">
      <c r="O814" s="135"/>
    </row>
    <row r="815" spans="15:15">
      <c r="O815" s="135"/>
    </row>
    <row r="816" spans="15:15">
      <c r="O816" s="135"/>
    </row>
    <row r="817" spans="15:15">
      <c r="O817" s="135"/>
    </row>
    <row r="818" spans="15:15">
      <c r="O818" s="135"/>
    </row>
    <row r="819" spans="15:15">
      <c r="O819" s="135"/>
    </row>
    <row r="820" spans="15:15">
      <c r="O820" s="135"/>
    </row>
    <row r="821" spans="15:15">
      <c r="O821" s="135"/>
    </row>
    <row r="822" spans="15:15">
      <c r="O822" s="135"/>
    </row>
    <row r="823" spans="15:15">
      <c r="O823" s="135"/>
    </row>
    <row r="824" spans="15:15">
      <c r="O824" s="135"/>
    </row>
    <row r="825" spans="15:15">
      <c r="O825" s="135"/>
    </row>
    <row r="826" spans="15:15">
      <c r="O826" s="135"/>
    </row>
    <row r="827" spans="15:15">
      <c r="O827" s="135"/>
    </row>
    <row r="828" spans="15:15">
      <c r="O828" s="135"/>
    </row>
    <row r="829" spans="15:15">
      <c r="O829" s="135"/>
    </row>
    <row r="830" spans="15:15">
      <c r="O830" s="135"/>
    </row>
    <row r="831" spans="15:15">
      <c r="O831" s="135"/>
    </row>
    <row r="832" spans="15:15">
      <c r="O832" s="135"/>
    </row>
    <row r="833" spans="15:15">
      <c r="O833" s="135"/>
    </row>
    <row r="834" spans="15:15">
      <c r="O834" s="135"/>
    </row>
    <row r="835" spans="15:15">
      <c r="O835" s="135"/>
    </row>
    <row r="836" spans="15:15">
      <c r="O836" s="135"/>
    </row>
    <row r="837" spans="15:15">
      <c r="O837" s="135"/>
    </row>
    <row r="838" spans="15:15">
      <c r="O838" s="135"/>
    </row>
    <row r="839" spans="15:15">
      <c r="O839" s="135"/>
    </row>
    <row r="840" spans="15:15">
      <c r="O840" s="135"/>
    </row>
    <row r="841" spans="15:15">
      <c r="O841" s="135"/>
    </row>
    <row r="842" spans="15:15">
      <c r="O842" s="135"/>
    </row>
    <row r="843" spans="15:15">
      <c r="O843" s="135"/>
    </row>
    <row r="844" spans="15:15">
      <c r="O844" s="135"/>
    </row>
    <row r="845" spans="15:15">
      <c r="O845" s="135"/>
    </row>
    <row r="846" spans="15:15">
      <c r="O846" s="135"/>
    </row>
    <row r="847" spans="15:15">
      <c r="O847" s="135"/>
    </row>
    <row r="848" spans="15:15">
      <c r="O848" s="135"/>
    </row>
    <row r="849" spans="15:15">
      <c r="O849" s="135"/>
    </row>
    <row r="850" spans="15:15">
      <c r="O850" s="135"/>
    </row>
    <row r="851" spans="15:15">
      <c r="O851" s="135"/>
    </row>
    <row r="852" spans="15:15">
      <c r="O852" s="135"/>
    </row>
    <row r="853" spans="15:15">
      <c r="O853" s="135"/>
    </row>
    <row r="854" spans="15:15">
      <c r="O854" s="135"/>
    </row>
    <row r="855" spans="15:15">
      <c r="O855" s="135"/>
    </row>
    <row r="856" spans="15:15">
      <c r="O856" s="135"/>
    </row>
    <row r="857" spans="15:15">
      <c r="O857" s="135"/>
    </row>
    <row r="858" spans="15:15">
      <c r="O858" s="135"/>
    </row>
    <row r="859" spans="15:15">
      <c r="O859" s="135"/>
    </row>
    <row r="860" spans="15:15">
      <c r="O860" s="135"/>
    </row>
    <row r="861" spans="15:15">
      <c r="O861" s="135"/>
    </row>
    <row r="862" spans="15:15">
      <c r="O862" s="135"/>
    </row>
    <row r="863" spans="15:15">
      <c r="O863" s="135"/>
    </row>
    <row r="864" spans="15:15">
      <c r="O864" s="135"/>
    </row>
    <row r="865" spans="15:15">
      <c r="O865" s="135"/>
    </row>
    <row r="866" spans="15:15">
      <c r="O866" s="135"/>
    </row>
    <row r="867" spans="15:15">
      <c r="O867" s="135"/>
    </row>
    <row r="868" spans="15:15">
      <c r="O868" s="135"/>
    </row>
    <row r="869" spans="15:15">
      <c r="O869" s="135"/>
    </row>
    <row r="870" spans="15:15">
      <c r="O870" s="135"/>
    </row>
    <row r="871" spans="15:15">
      <c r="O871" s="135"/>
    </row>
    <row r="872" spans="15:15">
      <c r="O872" s="135"/>
    </row>
    <row r="873" spans="15:15">
      <c r="O873" s="135"/>
    </row>
    <row r="874" spans="15:15">
      <c r="O874" s="135"/>
    </row>
    <row r="875" spans="15:15">
      <c r="O875" s="135"/>
    </row>
    <row r="876" spans="15:15">
      <c r="O876" s="135"/>
    </row>
    <row r="877" spans="15:15">
      <c r="O877" s="135"/>
    </row>
    <row r="878" spans="15:15">
      <c r="O878" s="135"/>
    </row>
    <row r="879" spans="15:15">
      <c r="O879" s="135"/>
    </row>
    <row r="880" spans="15:15">
      <c r="O880" s="135"/>
    </row>
    <row r="881" spans="15:15">
      <c r="O881" s="135"/>
    </row>
    <row r="882" spans="15:15">
      <c r="O882" s="135"/>
    </row>
    <row r="883" spans="15:15">
      <c r="O883" s="135"/>
    </row>
    <row r="884" spans="15:15">
      <c r="O884" s="135"/>
    </row>
    <row r="885" spans="15:15">
      <c r="O885" s="135"/>
    </row>
    <row r="886" spans="15:15">
      <c r="O886" s="135"/>
    </row>
    <row r="887" spans="15:15">
      <c r="O887" s="135"/>
    </row>
    <row r="888" spans="15:15">
      <c r="O888" s="135"/>
    </row>
    <row r="889" spans="15:15">
      <c r="O889" s="135"/>
    </row>
    <row r="890" spans="15:15">
      <c r="O890" s="135"/>
    </row>
    <row r="891" spans="15:15">
      <c r="O891" s="135"/>
    </row>
    <row r="892" spans="15:15">
      <c r="O892" s="135"/>
    </row>
    <row r="893" spans="15:15">
      <c r="O893" s="135"/>
    </row>
    <row r="894" spans="15:15">
      <c r="O894" s="135"/>
    </row>
    <row r="895" spans="15:15">
      <c r="O895" s="135"/>
    </row>
    <row r="896" spans="15:15">
      <c r="O896" s="135"/>
    </row>
    <row r="897" spans="15:15">
      <c r="O897" s="135"/>
    </row>
    <row r="898" spans="15:15">
      <c r="O898" s="135"/>
    </row>
    <row r="899" spans="15:15">
      <c r="O899" s="135"/>
    </row>
    <row r="900" spans="15:15">
      <c r="O900" s="135"/>
    </row>
    <row r="901" spans="15:15">
      <c r="O901" s="135"/>
    </row>
    <row r="902" spans="15:15">
      <c r="O902" s="135"/>
    </row>
    <row r="903" spans="15:15">
      <c r="O903" s="135"/>
    </row>
    <row r="904" spans="15:15">
      <c r="O904" s="135"/>
    </row>
    <row r="905" spans="15:15">
      <c r="O905" s="135"/>
    </row>
    <row r="906" spans="15:15">
      <c r="O906" s="135"/>
    </row>
    <row r="907" spans="15:15">
      <c r="O907" s="135"/>
    </row>
    <row r="908" spans="15:15">
      <c r="O908" s="135"/>
    </row>
    <row r="909" spans="15:15">
      <c r="O909" s="135"/>
    </row>
    <row r="910" spans="15:15">
      <c r="O910" s="135"/>
    </row>
    <row r="911" spans="15:15">
      <c r="O911" s="135"/>
    </row>
    <row r="912" spans="15:15">
      <c r="O912" s="135"/>
    </row>
    <row r="913" spans="15:15">
      <c r="O913" s="135"/>
    </row>
    <row r="914" spans="15:15">
      <c r="O914" s="135"/>
    </row>
    <row r="915" spans="15:15">
      <c r="O915" s="135"/>
    </row>
    <row r="916" spans="15:15">
      <c r="O916" s="135"/>
    </row>
    <row r="917" spans="15:15">
      <c r="O917" s="135"/>
    </row>
    <row r="918" spans="15:15">
      <c r="O918" s="135"/>
    </row>
    <row r="919" spans="15:15">
      <c r="O919" s="135"/>
    </row>
    <row r="920" spans="15:15">
      <c r="O920" s="135"/>
    </row>
    <row r="921" spans="15:15">
      <c r="O921" s="135"/>
    </row>
    <row r="922" spans="15:15">
      <c r="O922" s="135"/>
    </row>
    <row r="923" spans="15:15">
      <c r="O923" s="135"/>
    </row>
    <row r="924" spans="15:15">
      <c r="O924" s="135"/>
    </row>
    <row r="925" spans="15:15">
      <c r="O925" s="135"/>
    </row>
    <row r="926" spans="15:15">
      <c r="O926" s="135"/>
    </row>
    <row r="927" spans="15:15">
      <c r="O927" s="135"/>
    </row>
    <row r="928" spans="15:15">
      <c r="O928" s="135"/>
    </row>
    <row r="929" spans="15:15">
      <c r="O929" s="135"/>
    </row>
    <row r="930" spans="15:15">
      <c r="O930" s="135"/>
    </row>
    <row r="931" spans="15:15">
      <c r="O931" s="135"/>
    </row>
    <row r="932" spans="15:15">
      <c r="O932" s="135"/>
    </row>
    <row r="933" spans="15:15">
      <c r="O933" s="135"/>
    </row>
    <row r="934" spans="15:15">
      <c r="O934" s="135"/>
    </row>
    <row r="935" spans="15:15">
      <c r="O935" s="135"/>
    </row>
    <row r="936" spans="15:15">
      <c r="O936" s="135"/>
    </row>
    <row r="937" spans="15:15">
      <c r="O937" s="135"/>
    </row>
    <row r="938" spans="15:15">
      <c r="O938" s="135"/>
    </row>
    <row r="939" spans="15:15">
      <c r="O939" s="135"/>
    </row>
    <row r="940" spans="15:15">
      <c r="O940" s="135"/>
    </row>
    <row r="941" spans="15:15">
      <c r="O941" s="135"/>
    </row>
    <row r="942" spans="15:15">
      <c r="O942" s="135"/>
    </row>
    <row r="943" spans="15:15">
      <c r="O943" s="135"/>
    </row>
    <row r="944" spans="15:15">
      <c r="O944" s="135"/>
    </row>
    <row r="945" spans="15:15">
      <c r="O945" s="135"/>
    </row>
    <row r="946" spans="15:15">
      <c r="O946" s="135"/>
    </row>
    <row r="947" spans="15:15">
      <c r="O947" s="135"/>
    </row>
    <row r="948" spans="15:15">
      <c r="O948" s="135"/>
    </row>
    <row r="949" spans="15:15">
      <c r="O949" s="135"/>
    </row>
    <row r="950" spans="15:15">
      <c r="O950" s="135"/>
    </row>
    <row r="951" spans="15:15">
      <c r="O951" s="135"/>
    </row>
    <row r="952" spans="15:15">
      <c r="O952" s="135"/>
    </row>
    <row r="953" spans="15:15">
      <c r="O953" s="135"/>
    </row>
    <row r="954" spans="15:15">
      <c r="O954" s="135"/>
    </row>
    <row r="955" spans="15:15">
      <c r="O955" s="135"/>
    </row>
    <row r="956" spans="15:15">
      <c r="O956" s="135"/>
    </row>
    <row r="957" spans="15:15">
      <c r="O957" s="135"/>
    </row>
    <row r="958" spans="15:15">
      <c r="O958" s="135"/>
    </row>
    <row r="959" spans="15:15">
      <c r="O959" s="135"/>
    </row>
    <row r="960" spans="15:15">
      <c r="O960" s="135"/>
    </row>
    <row r="961" spans="15:15">
      <c r="O961" s="135"/>
    </row>
    <row r="962" spans="15:15">
      <c r="O962" s="135"/>
    </row>
    <row r="963" spans="15:15">
      <c r="O963" s="135"/>
    </row>
    <row r="964" spans="15:15">
      <c r="O964" s="135"/>
    </row>
    <row r="965" spans="15:15">
      <c r="O965" s="135"/>
    </row>
    <row r="966" spans="15:15">
      <c r="O966" s="135"/>
    </row>
    <row r="967" spans="15:15">
      <c r="O967" s="135"/>
    </row>
    <row r="968" spans="15:15">
      <c r="O968" s="135"/>
    </row>
    <row r="969" spans="15:15">
      <c r="O969" s="135"/>
    </row>
    <row r="970" spans="15:15">
      <c r="O970" s="135"/>
    </row>
    <row r="971" spans="15:15">
      <c r="O971" s="135"/>
    </row>
    <row r="972" spans="15:15">
      <c r="O972" s="135"/>
    </row>
    <row r="973" spans="15:15">
      <c r="O973" s="135"/>
    </row>
    <row r="974" spans="15:15">
      <c r="O974" s="135"/>
    </row>
    <row r="975" spans="15:15">
      <c r="O975" s="135"/>
    </row>
    <row r="976" spans="15:15">
      <c r="O976" s="135"/>
    </row>
    <row r="977" spans="15:15">
      <c r="O977" s="135"/>
    </row>
    <row r="978" spans="15:15">
      <c r="O978" s="135"/>
    </row>
    <row r="979" spans="15:15">
      <c r="O979" s="135"/>
    </row>
    <row r="980" spans="15:15">
      <c r="O980" s="135"/>
    </row>
    <row r="981" spans="15:15">
      <c r="O981" s="135"/>
    </row>
    <row r="982" spans="15:15">
      <c r="O982" s="135"/>
    </row>
    <row r="983" spans="15:15">
      <c r="O983" s="135"/>
    </row>
    <row r="984" spans="15:15">
      <c r="O984" s="135"/>
    </row>
    <row r="985" spans="15:15">
      <c r="O985" s="135"/>
    </row>
    <row r="986" spans="15:15">
      <c r="O986" s="135"/>
    </row>
    <row r="987" spans="15:15">
      <c r="O987" s="135"/>
    </row>
    <row r="988" spans="15:15">
      <c r="O988" s="135"/>
    </row>
    <row r="989" spans="15:15">
      <c r="O989" s="135"/>
    </row>
    <row r="990" spans="15:15">
      <c r="O990" s="135"/>
    </row>
    <row r="991" spans="15:15">
      <c r="O991" s="135"/>
    </row>
    <row r="992" spans="15:15">
      <c r="O992" s="135"/>
    </row>
    <row r="993" spans="15:15">
      <c r="O993" s="135"/>
    </row>
    <row r="994" spans="15:15">
      <c r="O994" s="135"/>
    </row>
    <row r="995" spans="15:15">
      <c r="O995" s="135"/>
    </row>
    <row r="996" spans="15:15">
      <c r="O996" s="135"/>
    </row>
    <row r="997" spans="15:15">
      <c r="O997" s="135"/>
    </row>
    <row r="998" spans="15:15">
      <c r="O998" s="135"/>
    </row>
    <row r="999" spans="15:15">
      <c r="O999" s="135"/>
    </row>
    <row r="1000" spans="15:15">
      <c r="O1000" s="135"/>
    </row>
    <row r="1001" spans="15:15">
      <c r="O1001" s="135"/>
    </row>
    <row r="1002" spans="15:15">
      <c r="O1002" s="135"/>
    </row>
    <row r="1003" spans="15:15">
      <c r="O1003" s="135"/>
    </row>
    <row r="1004" spans="15:15">
      <c r="O1004" s="135"/>
    </row>
    <row r="1005" spans="15:15">
      <c r="O1005" s="135"/>
    </row>
    <row r="1006" spans="15:15">
      <c r="O1006" s="135"/>
    </row>
    <row r="1007" spans="15:15">
      <c r="O1007" s="135"/>
    </row>
    <row r="1008" spans="15:15">
      <c r="O1008" s="135"/>
    </row>
    <row r="1009" spans="15:15">
      <c r="O1009" s="135"/>
    </row>
    <row r="1010" spans="15:15">
      <c r="O1010" s="135"/>
    </row>
    <row r="1011" spans="15:15">
      <c r="O1011" s="135"/>
    </row>
    <row r="1012" spans="15:15">
      <c r="O1012" s="135"/>
    </row>
    <row r="1013" spans="15:15">
      <c r="O1013" s="135"/>
    </row>
    <row r="1014" spans="15:15">
      <c r="O1014" s="135"/>
    </row>
    <row r="1015" spans="15:15">
      <c r="O1015" s="135"/>
    </row>
    <row r="1016" spans="15:15">
      <c r="O1016" s="135"/>
    </row>
    <row r="1017" spans="15:15">
      <c r="O1017" s="135"/>
    </row>
    <row r="1018" spans="15:15">
      <c r="O1018" s="135"/>
    </row>
    <row r="1019" spans="15:15">
      <c r="O1019" s="135"/>
    </row>
    <row r="1020" spans="15:15">
      <c r="O1020" s="135"/>
    </row>
    <row r="1021" spans="15:15">
      <c r="O1021" s="135"/>
    </row>
    <row r="1022" spans="15:15">
      <c r="O1022" s="135"/>
    </row>
    <row r="1023" spans="15:15">
      <c r="O1023" s="135"/>
    </row>
    <row r="1024" spans="15:15">
      <c r="O1024" s="135"/>
    </row>
    <row r="1025" spans="15:15">
      <c r="O1025" s="135"/>
    </row>
    <row r="1026" spans="15:15">
      <c r="O1026" s="135"/>
    </row>
    <row r="1027" spans="15:15">
      <c r="O1027" s="135"/>
    </row>
    <row r="1028" spans="15:15">
      <c r="O1028" s="135"/>
    </row>
    <row r="1029" spans="15:15">
      <c r="O1029" s="135"/>
    </row>
    <row r="1030" spans="15:15">
      <c r="O1030" s="135"/>
    </row>
    <row r="1031" spans="15:15">
      <c r="O1031" s="135"/>
    </row>
    <row r="1032" spans="15:15">
      <c r="O1032" s="135"/>
    </row>
    <row r="1033" spans="15:15">
      <c r="O1033" s="135"/>
    </row>
    <row r="1034" spans="15:15">
      <c r="O1034" s="135"/>
    </row>
    <row r="1035" spans="15:15">
      <c r="O1035" s="135"/>
    </row>
    <row r="1036" spans="15:15">
      <c r="O1036" s="135"/>
    </row>
    <row r="1037" spans="15:15">
      <c r="O1037" s="135"/>
    </row>
    <row r="1038" spans="15:15">
      <c r="O1038" s="135"/>
    </row>
    <row r="1039" spans="15:15">
      <c r="O1039" s="135"/>
    </row>
    <row r="1040" spans="15:15">
      <c r="O1040" s="135"/>
    </row>
    <row r="1041" spans="15:15">
      <c r="O1041" s="135"/>
    </row>
    <row r="1042" spans="15:15">
      <c r="O1042" s="135"/>
    </row>
    <row r="1043" spans="15:15">
      <c r="O1043" s="135"/>
    </row>
    <row r="1044" spans="15:15">
      <c r="O1044" s="135"/>
    </row>
    <row r="1045" spans="15:15">
      <c r="O1045" s="135"/>
    </row>
    <row r="1046" spans="15:15">
      <c r="O1046" s="135"/>
    </row>
    <row r="1047" spans="15:15">
      <c r="O1047" s="135"/>
    </row>
    <row r="1048" spans="15:15">
      <c r="O1048" s="135"/>
    </row>
    <row r="1049" spans="15:15">
      <c r="O1049" s="135"/>
    </row>
    <row r="1050" spans="15:15">
      <c r="O1050" s="135"/>
    </row>
    <row r="1051" spans="15:15">
      <c r="O1051" s="135"/>
    </row>
    <row r="1052" spans="15:15">
      <c r="O1052" s="135"/>
    </row>
    <row r="1053" spans="15:15">
      <c r="O1053" s="135"/>
    </row>
    <row r="1054" spans="15:15">
      <c r="O1054" s="135"/>
    </row>
    <row r="1055" spans="15:15">
      <c r="O1055" s="135"/>
    </row>
    <row r="1056" spans="15:15">
      <c r="O1056" s="135"/>
    </row>
    <row r="1057" spans="15:15">
      <c r="O1057" s="135"/>
    </row>
    <row r="1058" spans="15:15">
      <c r="O1058" s="135"/>
    </row>
    <row r="1059" spans="15:15">
      <c r="O1059" s="135"/>
    </row>
    <row r="1060" spans="15:15">
      <c r="O1060" s="135"/>
    </row>
    <row r="1061" spans="15:15">
      <c r="O1061" s="135"/>
    </row>
    <row r="1062" spans="15:15">
      <c r="O1062" s="135"/>
    </row>
    <row r="1063" spans="15:15">
      <c r="O1063" s="135"/>
    </row>
    <row r="1064" spans="15:15">
      <c r="O1064" s="135"/>
    </row>
    <row r="1065" spans="15:15">
      <c r="O1065" s="135"/>
    </row>
    <row r="1066" spans="15:15">
      <c r="O1066" s="135"/>
    </row>
    <row r="1067" spans="15:15">
      <c r="O1067" s="135"/>
    </row>
    <row r="1068" spans="15:15">
      <c r="O1068" s="135"/>
    </row>
    <row r="1069" spans="15:15">
      <c r="O1069" s="135"/>
    </row>
    <row r="1070" spans="15:15">
      <c r="O1070" s="135"/>
    </row>
    <row r="1071" spans="15:15">
      <c r="O1071" s="135"/>
    </row>
    <row r="1072" spans="15:15">
      <c r="O1072" s="135"/>
    </row>
    <row r="1073" spans="15:15">
      <c r="O1073" s="135"/>
    </row>
    <row r="1074" spans="15:15">
      <c r="O1074" s="135"/>
    </row>
    <row r="1075" spans="15:15">
      <c r="O1075" s="135"/>
    </row>
    <row r="1076" spans="15:15">
      <c r="O1076" s="135"/>
    </row>
    <row r="1077" spans="15:15">
      <c r="O1077" s="135"/>
    </row>
    <row r="1078" spans="15:15">
      <c r="O1078" s="135"/>
    </row>
    <row r="1079" spans="15:15">
      <c r="O1079" s="135"/>
    </row>
    <row r="1080" spans="15:15">
      <c r="O1080" s="135"/>
    </row>
    <row r="1081" spans="15:15">
      <c r="O1081" s="135"/>
    </row>
    <row r="1082" spans="15:15">
      <c r="O1082" s="135"/>
    </row>
    <row r="1083" spans="15:15">
      <c r="O1083" s="135"/>
    </row>
    <row r="1084" spans="15:15">
      <c r="O1084" s="135"/>
    </row>
    <row r="1085" spans="15:15">
      <c r="O1085" s="135"/>
    </row>
    <row r="1086" spans="15:15">
      <c r="O1086" s="135"/>
    </row>
    <row r="1087" spans="15:15">
      <c r="O1087" s="135"/>
    </row>
    <row r="1088" spans="15:15">
      <c r="O1088" s="135"/>
    </row>
    <row r="1089" spans="15:15">
      <c r="O1089" s="135"/>
    </row>
    <row r="1090" spans="15:15">
      <c r="O1090" s="135"/>
    </row>
    <row r="1091" spans="15:15">
      <c r="O1091" s="135"/>
    </row>
    <row r="1092" spans="15:15">
      <c r="O1092" s="135"/>
    </row>
    <row r="1093" spans="15:15">
      <c r="O1093" s="135"/>
    </row>
    <row r="1094" spans="15:15">
      <c r="O1094" s="135"/>
    </row>
    <row r="1095" spans="15:15">
      <c r="O1095" s="135"/>
    </row>
    <row r="1096" spans="15:15">
      <c r="O1096" s="135"/>
    </row>
    <row r="1097" spans="15:15">
      <c r="O1097" s="135"/>
    </row>
    <row r="1098" spans="15:15">
      <c r="O1098" s="135"/>
    </row>
    <row r="1099" spans="15:15">
      <c r="O1099" s="135"/>
    </row>
    <row r="1100" spans="15:15">
      <c r="O1100" s="135"/>
    </row>
    <row r="1101" spans="15:15">
      <c r="O1101" s="135"/>
    </row>
    <row r="1102" spans="15:15">
      <c r="O1102" s="135"/>
    </row>
    <row r="1103" spans="15:15">
      <c r="O1103" s="135"/>
    </row>
    <row r="1104" spans="15:15">
      <c r="O1104" s="135"/>
    </row>
    <row r="1105" spans="15:15">
      <c r="O1105" s="135"/>
    </row>
    <row r="1106" spans="15:15">
      <c r="O1106" s="135"/>
    </row>
    <row r="1107" spans="15:15">
      <c r="O1107" s="135"/>
    </row>
    <row r="1108" spans="15:15">
      <c r="O1108" s="135"/>
    </row>
    <row r="1109" spans="15:15">
      <c r="O1109" s="135"/>
    </row>
    <row r="1110" spans="15:15">
      <c r="O1110" s="135"/>
    </row>
    <row r="1111" spans="15:15">
      <c r="O1111" s="135"/>
    </row>
    <row r="1112" spans="15:15">
      <c r="O1112" s="135"/>
    </row>
    <row r="1113" spans="15:15">
      <c r="O1113" s="135"/>
    </row>
    <row r="1114" spans="15:15">
      <c r="O1114" s="135"/>
    </row>
    <row r="1115" spans="15:15">
      <c r="O1115" s="135"/>
    </row>
    <row r="1116" spans="15:15">
      <c r="O1116" s="135"/>
    </row>
    <row r="1117" spans="15:15">
      <c r="O1117" s="135"/>
    </row>
    <row r="1118" spans="15:15">
      <c r="O1118" s="135"/>
    </row>
    <row r="1119" spans="15:15">
      <c r="O1119" s="135"/>
    </row>
    <row r="1120" spans="15:15">
      <c r="O1120" s="135"/>
    </row>
    <row r="1121" spans="15:15">
      <c r="O1121" s="135"/>
    </row>
    <row r="1122" spans="15:15">
      <c r="O1122" s="135"/>
    </row>
    <row r="1123" spans="15:15">
      <c r="O1123" s="135"/>
    </row>
    <row r="1124" spans="15:15">
      <c r="O1124" s="135"/>
    </row>
    <row r="1125" spans="15:15">
      <c r="O1125" s="135"/>
    </row>
    <row r="1126" spans="15:15">
      <c r="O1126" s="135"/>
    </row>
    <row r="1127" spans="15:15">
      <c r="O1127" s="135"/>
    </row>
    <row r="1128" spans="15:15">
      <c r="O1128" s="135"/>
    </row>
    <row r="1129" spans="15:15">
      <c r="O1129" s="135"/>
    </row>
    <row r="1130" spans="15:15">
      <c r="O1130" s="135"/>
    </row>
    <row r="1131" spans="15:15">
      <c r="O1131" s="135"/>
    </row>
    <row r="1132" spans="15:15">
      <c r="O1132" s="135"/>
    </row>
    <row r="1133" spans="15:15">
      <c r="O1133" s="135"/>
    </row>
    <row r="1134" spans="15:15">
      <c r="O1134" s="135"/>
    </row>
    <row r="1135" spans="15:15">
      <c r="O1135" s="135"/>
    </row>
    <row r="1136" spans="15:15">
      <c r="O1136" s="135"/>
    </row>
    <row r="1137" spans="15:15">
      <c r="O1137" s="135"/>
    </row>
    <row r="1138" spans="15:15">
      <c r="O1138" s="135"/>
    </row>
    <row r="1139" spans="15:15">
      <c r="O1139" s="135"/>
    </row>
    <row r="1140" spans="15:15">
      <c r="O1140" s="135"/>
    </row>
    <row r="1141" spans="15:15">
      <c r="O1141" s="135"/>
    </row>
    <row r="1142" spans="15:15">
      <c r="O1142" s="135"/>
    </row>
    <row r="1143" spans="15:15">
      <c r="O1143" s="135"/>
    </row>
    <row r="1144" spans="15:15">
      <c r="O1144" s="135"/>
    </row>
    <row r="1145" spans="15:15">
      <c r="O1145" s="135"/>
    </row>
    <row r="1146" spans="15:15">
      <c r="O1146" s="135"/>
    </row>
    <row r="1147" spans="15:15">
      <c r="O1147" s="135"/>
    </row>
    <row r="1148" spans="15:15">
      <c r="O1148" s="135"/>
    </row>
    <row r="1149" spans="15:15">
      <c r="O1149" s="135"/>
    </row>
    <row r="1150" spans="15:15">
      <c r="O1150" s="135"/>
    </row>
    <row r="1151" spans="15:15">
      <c r="O1151" s="135"/>
    </row>
    <row r="1152" spans="15:15">
      <c r="O1152" s="135"/>
    </row>
    <row r="1153" spans="15:15">
      <c r="O1153" s="135"/>
    </row>
    <row r="1154" spans="15:15">
      <c r="O1154" s="135"/>
    </row>
    <row r="1155" spans="15:15">
      <c r="O1155" s="135"/>
    </row>
    <row r="1156" spans="15:15">
      <c r="O1156" s="135"/>
    </row>
    <row r="1157" spans="15:15">
      <c r="O1157" s="135"/>
    </row>
    <row r="1158" spans="15:15">
      <c r="O1158" s="135"/>
    </row>
    <row r="1159" spans="15:15">
      <c r="O1159" s="135"/>
    </row>
    <row r="1160" spans="15:15">
      <c r="O1160" s="135"/>
    </row>
    <row r="1161" spans="15:15">
      <c r="O1161" s="135"/>
    </row>
    <row r="1162" spans="15:15">
      <c r="O1162" s="135"/>
    </row>
    <row r="1163" spans="15:15">
      <c r="O1163" s="135"/>
    </row>
    <row r="1164" spans="15:15">
      <c r="O1164" s="135"/>
    </row>
    <row r="1165" spans="15:15">
      <c r="O1165" s="135"/>
    </row>
    <row r="1166" spans="15:15">
      <c r="O1166" s="135"/>
    </row>
    <row r="1167" spans="15:15">
      <c r="O1167" s="135"/>
    </row>
    <row r="1168" spans="15:15">
      <c r="O1168" s="135"/>
    </row>
    <row r="1169" spans="15:15">
      <c r="O1169" s="135"/>
    </row>
    <row r="1170" spans="15:15">
      <c r="O1170" s="135"/>
    </row>
    <row r="1171" spans="15:15">
      <c r="O1171" s="135"/>
    </row>
    <row r="1172" spans="15:15">
      <c r="O1172" s="135"/>
    </row>
    <row r="1173" spans="15:15">
      <c r="O1173" s="135"/>
    </row>
    <row r="1174" spans="15:15">
      <c r="O1174" s="135"/>
    </row>
    <row r="1175" spans="15:15">
      <c r="O1175" s="135"/>
    </row>
    <row r="1176" spans="15:15">
      <c r="O1176" s="135"/>
    </row>
    <row r="1177" spans="15:15">
      <c r="O1177" s="135"/>
    </row>
    <row r="1178" spans="15:15">
      <c r="O1178" s="135"/>
    </row>
    <row r="1179" spans="15:15">
      <c r="O1179" s="135"/>
    </row>
    <row r="1180" spans="15:15">
      <c r="O1180" s="135"/>
    </row>
    <row r="1181" spans="15:15">
      <c r="O1181" s="135"/>
    </row>
    <row r="1182" spans="15:15">
      <c r="O1182" s="135"/>
    </row>
    <row r="1183" spans="15:15">
      <c r="O1183" s="135"/>
    </row>
    <row r="1184" spans="15:15">
      <c r="O1184" s="135"/>
    </row>
    <row r="1185" spans="15:15">
      <c r="O1185" s="135"/>
    </row>
    <row r="1186" spans="15:15">
      <c r="O1186" s="135"/>
    </row>
    <row r="1187" spans="15:15">
      <c r="O1187" s="135"/>
    </row>
    <row r="1188" spans="15:15">
      <c r="O1188" s="135"/>
    </row>
    <row r="1189" spans="15:15">
      <c r="O1189" s="135"/>
    </row>
    <row r="1190" spans="15:15">
      <c r="O1190" s="135"/>
    </row>
    <row r="1191" spans="15:15">
      <c r="O1191" s="135"/>
    </row>
    <row r="1192" spans="15:15">
      <c r="O1192" s="135"/>
    </row>
    <row r="1193" spans="15:15">
      <c r="O1193" s="135"/>
    </row>
    <row r="1194" spans="15:15">
      <c r="O1194" s="135"/>
    </row>
    <row r="1195" spans="15:15">
      <c r="O1195" s="135"/>
    </row>
    <row r="1196" spans="15:15">
      <c r="O1196" s="135"/>
    </row>
    <row r="1197" spans="15:15">
      <c r="O1197" s="135"/>
    </row>
    <row r="1198" spans="15:15">
      <c r="O1198" s="135"/>
    </row>
    <row r="1199" spans="15:15">
      <c r="O1199" s="135"/>
    </row>
    <row r="1200" spans="15:15">
      <c r="O1200" s="135"/>
    </row>
    <row r="1201" spans="15:15">
      <c r="O1201" s="135"/>
    </row>
    <row r="1202" spans="15:15">
      <c r="O1202" s="135"/>
    </row>
    <row r="1203" spans="15:15">
      <c r="O1203" s="135"/>
    </row>
    <row r="1204" spans="15:15">
      <c r="O1204" s="135"/>
    </row>
    <row r="1205" spans="15:15">
      <c r="O1205" s="135"/>
    </row>
    <row r="1206" spans="15:15">
      <c r="O1206" s="135"/>
    </row>
    <row r="1207" spans="15:15">
      <c r="O1207" s="135"/>
    </row>
    <row r="1208" spans="15:15">
      <c r="O1208" s="135"/>
    </row>
    <row r="1209" spans="15:15">
      <c r="O1209" s="135"/>
    </row>
    <row r="1210" spans="15:15">
      <c r="O1210" s="135"/>
    </row>
    <row r="1211" spans="15:15">
      <c r="O1211" s="135"/>
    </row>
    <row r="1212" spans="15:15">
      <c r="O1212" s="135"/>
    </row>
    <row r="1213" spans="15:15">
      <c r="O1213" s="135"/>
    </row>
    <row r="1214" spans="15:15">
      <c r="O1214" s="135"/>
    </row>
    <row r="1215" spans="15:15">
      <c r="O1215" s="135"/>
    </row>
    <row r="1216" spans="15:15">
      <c r="O1216" s="135"/>
    </row>
    <row r="1217" spans="15:15">
      <c r="O1217" s="135"/>
    </row>
    <row r="1218" spans="15:15">
      <c r="O1218" s="135"/>
    </row>
    <row r="1219" spans="15:15">
      <c r="O1219" s="135"/>
    </row>
    <row r="1220" spans="15:15">
      <c r="O1220" s="135"/>
    </row>
    <row r="1221" spans="15:15">
      <c r="O1221" s="135"/>
    </row>
    <row r="1222" spans="15:15">
      <c r="O1222" s="135"/>
    </row>
    <row r="1223" spans="15:15">
      <c r="O1223" s="135"/>
    </row>
    <row r="1224" spans="15:15">
      <c r="O1224" s="135"/>
    </row>
    <row r="1225" spans="15:15">
      <c r="O1225" s="135"/>
    </row>
    <row r="1226" spans="15:15">
      <c r="O1226" s="135"/>
    </row>
    <row r="1227" spans="15:15">
      <c r="O1227" s="135"/>
    </row>
    <row r="1228" spans="15:15">
      <c r="O1228" s="135"/>
    </row>
    <row r="1229" spans="15:15">
      <c r="O1229" s="135"/>
    </row>
    <row r="1230" spans="15:15">
      <c r="O1230" s="135"/>
    </row>
    <row r="1231" spans="15:15">
      <c r="O1231" s="135"/>
    </row>
    <row r="1232" spans="15:15">
      <c r="O1232" s="135"/>
    </row>
    <row r="1233" spans="15:15">
      <c r="O1233" s="135"/>
    </row>
    <row r="1234" spans="15:15">
      <c r="O1234" s="135"/>
    </row>
    <row r="1235" spans="15:15">
      <c r="O1235" s="135"/>
    </row>
    <row r="1236" spans="15:15">
      <c r="O1236" s="135"/>
    </row>
    <row r="1237" spans="15:15">
      <c r="O1237" s="135"/>
    </row>
    <row r="1238" spans="15:15">
      <c r="O1238" s="135"/>
    </row>
    <row r="1239" spans="15:15">
      <c r="O1239" s="135"/>
    </row>
    <row r="1240" spans="15:15">
      <c r="O1240" s="135"/>
    </row>
    <row r="1241" spans="15:15">
      <c r="O1241" s="135"/>
    </row>
    <row r="1242" spans="15:15">
      <c r="O1242" s="135"/>
    </row>
    <row r="1243" spans="15:15">
      <c r="O1243" s="135"/>
    </row>
    <row r="1244" spans="15:15">
      <c r="O1244" s="135"/>
    </row>
    <row r="1245" spans="15:15">
      <c r="O1245" s="135"/>
    </row>
    <row r="1246" spans="15:15">
      <c r="O1246" s="135"/>
    </row>
    <row r="1247" spans="15:15">
      <c r="O1247" s="135"/>
    </row>
    <row r="1248" spans="15:15">
      <c r="O1248" s="135"/>
    </row>
    <row r="1249" spans="15:15">
      <c r="O1249" s="135"/>
    </row>
    <row r="1250" spans="15:15">
      <c r="O1250" s="135"/>
    </row>
    <row r="1251" spans="15:15">
      <c r="O1251" s="135"/>
    </row>
    <row r="1252" spans="15:15">
      <c r="O1252" s="135"/>
    </row>
    <row r="1253" spans="15:15">
      <c r="O1253" s="135"/>
    </row>
    <row r="1254" spans="15:15">
      <c r="O1254" s="135"/>
    </row>
  </sheetData>
  <sheetProtection algorithmName="SHA-512" hashValue="6G/KgZwt8XpksZoPsN9Lxd/J1LRC26cZrh6TZ30cLPKOmRduzKK41pEuBAIt/X5OFWacVj7dqjgGnz5yICqtNQ==" saltValue="uLz1JEK1IUEc4GxfRTi6wQ==" spinCount="100000" sheet="1" objects="1" scenarios="1"/>
  <autoFilter ref="A4:AB464" xr:uid="{00000000-0001-0000-0100-000000000000}"/>
  <phoneticPr fontId="25" type="noConversion"/>
  <conditionalFormatting sqref="A182:A183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4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5:A19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2:A194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U83"/>
  <sheetViews>
    <sheetView tabSelected="1" zoomScale="80" zoomScaleNormal="80" workbookViewId="0">
      <pane xSplit="6" ySplit="2" topLeftCell="H3" activePane="bottomRight" state="frozen"/>
      <selection pane="topRight" activeCell="G1" sqref="G1"/>
      <selection pane="bottomLeft" activeCell="A3" sqref="A3"/>
      <selection pane="bottomRight" activeCell="I41" sqref="I41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80" bestFit="1" customWidth="1"/>
    <col min="22" max="16384" width="11.42578125" style="8"/>
  </cols>
  <sheetData>
    <row r="1" spans="1:21" ht="15.75">
      <c r="A1" s="94" t="s">
        <v>778</v>
      </c>
      <c r="G1" s="8">
        <v>388016.01199999999</v>
      </c>
      <c r="I1" s="104">
        <f t="shared" ref="I1:U1" si="0">SUBTOTAL(9,I3:I60)</f>
        <v>0</v>
      </c>
      <c r="J1" s="104">
        <f t="shared" si="0"/>
        <v>68661.482999999993</v>
      </c>
      <c r="K1" s="104">
        <f t="shared" si="0"/>
        <v>135543.46399999998</v>
      </c>
      <c r="L1" s="104">
        <f t="shared" si="0"/>
        <v>256804.75899999996</v>
      </c>
      <c r="M1" s="104">
        <f t="shared" si="0"/>
        <v>307926.52899999998</v>
      </c>
      <c r="N1" s="104">
        <f t="shared" si="0"/>
        <v>361836.484</v>
      </c>
      <c r="O1" s="104">
        <f t="shared" si="0"/>
        <v>388016.01199999999</v>
      </c>
      <c r="P1" s="104">
        <f t="shared" si="0"/>
        <v>0</v>
      </c>
      <c r="Q1" s="104">
        <f t="shared" si="0"/>
        <v>0</v>
      </c>
      <c r="R1" s="104">
        <f t="shared" si="0"/>
        <v>0</v>
      </c>
      <c r="S1" s="104">
        <f t="shared" si="0"/>
        <v>0</v>
      </c>
      <c r="T1" s="104">
        <f t="shared" si="0"/>
        <v>0</v>
      </c>
      <c r="U1" s="104">
        <f t="shared" si="0"/>
        <v>1518788.7309999999</v>
      </c>
    </row>
    <row r="2" spans="1:21" ht="38.25">
      <c r="A2" s="105" t="s">
        <v>779</v>
      </c>
      <c r="B2" s="106" t="s">
        <v>121</v>
      </c>
      <c r="C2" s="106" t="s">
        <v>5</v>
      </c>
      <c r="D2" s="106" t="s">
        <v>122</v>
      </c>
      <c r="E2" s="107" t="s">
        <v>123</v>
      </c>
      <c r="F2" s="107" t="s">
        <v>124</v>
      </c>
      <c r="G2" s="107" t="s">
        <v>78</v>
      </c>
      <c r="H2" s="106" t="s">
        <v>127</v>
      </c>
      <c r="I2" s="108">
        <v>45658</v>
      </c>
      <c r="J2" s="108">
        <v>45689</v>
      </c>
      <c r="K2" s="108">
        <v>45717</v>
      </c>
      <c r="L2" s="108">
        <v>45748</v>
      </c>
      <c r="M2" s="108">
        <v>45778</v>
      </c>
      <c r="N2" s="108">
        <v>45809</v>
      </c>
      <c r="O2" s="108">
        <v>45839</v>
      </c>
      <c r="P2" s="108">
        <v>45870</v>
      </c>
      <c r="Q2" s="108">
        <v>45901</v>
      </c>
      <c r="R2" s="108">
        <v>45931</v>
      </c>
      <c r="S2" s="108">
        <v>45962</v>
      </c>
      <c r="T2" s="108">
        <v>45992</v>
      </c>
      <c r="U2" s="279" t="s">
        <v>780</v>
      </c>
    </row>
    <row r="3" spans="1:21" ht="25.5">
      <c r="A3" s="204">
        <v>40009018</v>
      </c>
      <c r="B3" s="10">
        <v>33</v>
      </c>
      <c r="C3" s="11" t="s">
        <v>27</v>
      </c>
      <c r="D3" s="10">
        <v>125</v>
      </c>
      <c r="E3" s="12" t="s">
        <v>131</v>
      </c>
      <c r="F3" s="12" t="s">
        <v>781</v>
      </c>
      <c r="G3" s="12" t="s">
        <v>85</v>
      </c>
      <c r="H3" s="207">
        <v>87467.254000000001</v>
      </c>
      <c r="I3" s="13"/>
      <c r="J3" s="140"/>
      <c r="K3" s="13">
        <v>31087.361000000001</v>
      </c>
      <c r="L3" s="13"/>
      <c r="M3" s="13"/>
      <c r="N3" s="13"/>
      <c r="O3" s="13"/>
      <c r="P3" s="140"/>
      <c r="Q3" s="13"/>
      <c r="R3" s="13"/>
      <c r="S3" s="147"/>
      <c r="T3" s="13"/>
      <c r="U3" s="13">
        <f t="shared" ref="U3" si="1">SUM(I3:T3)</f>
        <v>31087.361000000001</v>
      </c>
    </row>
    <row r="4" spans="1:21" hidden="1">
      <c r="A4" s="204">
        <v>40042650</v>
      </c>
      <c r="B4" s="10">
        <v>33</v>
      </c>
      <c r="C4" s="11" t="s">
        <v>27</v>
      </c>
      <c r="D4" s="10">
        <v>125</v>
      </c>
      <c r="E4" s="12" t="s">
        <v>131</v>
      </c>
      <c r="F4" s="12" t="s">
        <v>782</v>
      </c>
      <c r="G4" s="12" t="s">
        <v>93</v>
      </c>
      <c r="H4" s="208">
        <v>114856.673</v>
      </c>
      <c r="I4" s="13"/>
      <c r="J4" s="140"/>
      <c r="K4" s="13"/>
      <c r="L4" s="13"/>
      <c r="M4" s="13"/>
      <c r="N4" s="13"/>
      <c r="O4" s="13"/>
      <c r="P4" s="140"/>
      <c r="Q4" s="13"/>
      <c r="R4" s="13"/>
      <c r="S4" s="215"/>
      <c r="T4" s="13"/>
      <c r="U4" s="13">
        <f t="shared" ref="U4:U9" si="2">SUM(I4:T4)</f>
        <v>0</v>
      </c>
    </row>
    <row r="5" spans="1:21" ht="25.5" hidden="1">
      <c r="A5" s="204">
        <v>40024712</v>
      </c>
      <c r="B5" s="10">
        <v>33</v>
      </c>
      <c r="C5" s="11" t="s">
        <v>27</v>
      </c>
      <c r="D5" s="10">
        <v>125</v>
      </c>
      <c r="E5" s="12" t="s">
        <v>131</v>
      </c>
      <c r="F5" s="12" t="s">
        <v>783</v>
      </c>
      <c r="G5" s="12" t="s">
        <v>89</v>
      </c>
      <c r="H5" s="208">
        <v>25000</v>
      </c>
      <c r="I5" s="13"/>
      <c r="J5" s="140"/>
      <c r="K5" s="13"/>
      <c r="L5" s="13"/>
      <c r="M5" s="13"/>
      <c r="N5" s="13"/>
      <c r="O5" s="13"/>
      <c r="P5" s="140"/>
      <c r="Q5" s="13"/>
      <c r="R5" s="13"/>
      <c r="S5" s="147"/>
      <c r="T5" s="13"/>
      <c r="U5" s="13">
        <f t="shared" si="2"/>
        <v>0</v>
      </c>
    </row>
    <row r="6" spans="1:21" ht="25.5" hidden="1">
      <c r="A6" s="204">
        <v>40040377</v>
      </c>
      <c r="B6" s="10">
        <v>33</v>
      </c>
      <c r="C6" s="11" t="s">
        <v>27</v>
      </c>
      <c r="D6" s="10">
        <v>125</v>
      </c>
      <c r="E6" s="12" t="s">
        <v>131</v>
      </c>
      <c r="F6" s="12" t="s">
        <v>784</v>
      </c>
      <c r="G6" s="12" t="s">
        <v>90</v>
      </c>
      <c r="H6" s="208">
        <v>100000</v>
      </c>
      <c r="I6" s="13"/>
      <c r="J6" s="140"/>
      <c r="K6" s="13"/>
      <c r="L6" s="13"/>
      <c r="M6" s="13"/>
      <c r="N6" s="13"/>
      <c r="O6" s="13"/>
      <c r="P6" s="140"/>
      <c r="Q6" s="13"/>
      <c r="R6" s="13"/>
      <c r="S6" s="147"/>
      <c r="T6" s="13"/>
      <c r="U6" s="13">
        <f t="shared" si="2"/>
        <v>0</v>
      </c>
    </row>
    <row r="7" spans="1:21" ht="25.5" hidden="1">
      <c r="A7" s="204">
        <v>40040384</v>
      </c>
      <c r="B7" s="10">
        <v>33</v>
      </c>
      <c r="C7" s="11" t="s">
        <v>27</v>
      </c>
      <c r="D7" s="10">
        <v>125</v>
      </c>
      <c r="E7" s="12" t="s">
        <v>131</v>
      </c>
      <c r="F7" s="12" t="s">
        <v>785</v>
      </c>
      <c r="G7" s="12" t="s">
        <v>90</v>
      </c>
      <c r="H7" s="208">
        <v>73744</v>
      </c>
      <c r="I7" s="13"/>
      <c r="J7" s="140"/>
      <c r="K7" s="13"/>
      <c r="L7" s="13"/>
      <c r="M7" s="13"/>
      <c r="N7" s="13"/>
      <c r="O7" s="13"/>
      <c r="P7" s="140"/>
      <c r="Q7" s="13"/>
      <c r="R7" s="13"/>
      <c r="S7" s="147"/>
      <c r="T7" s="13"/>
      <c r="U7" s="13">
        <f t="shared" si="2"/>
        <v>0</v>
      </c>
    </row>
    <row r="8" spans="1:21" ht="20.25" customHeight="1">
      <c r="A8" s="204">
        <v>40046413</v>
      </c>
      <c r="B8" s="10">
        <v>33</v>
      </c>
      <c r="C8" s="11" t="s">
        <v>27</v>
      </c>
      <c r="D8" s="10">
        <v>125</v>
      </c>
      <c r="E8" s="12" t="s">
        <v>131</v>
      </c>
      <c r="F8" s="12" t="s">
        <v>786</v>
      </c>
      <c r="G8" s="12" t="s">
        <v>85</v>
      </c>
      <c r="H8" s="208">
        <v>135998.04500000001</v>
      </c>
      <c r="I8" s="13"/>
      <c r="J8" s="140">
        <v>13747.683999999999</v>
      </c>
      <c r="K8" s="13"/>
      <c r="L8" s="13"/>
      <c r="M8" s="13"/>
      <c r="N8" s="13"/>
      <c r="O8" s="13"/>
      <c r="P8" s="140"/>
      <c r="Q8" s="13"/>
      <c r="R8" s="13"/>
      <c r="S8" s="147"/>
      <c r="T8" s="13"/>
      <c r="U8" s="13">
        <f t="shared" si="2"/>
        <v>13747.683999999999</v>
      </c>
    </row>
    <row r="9" spans="1:21" ht="20.25" hidden="1" customHeight="1">
      <c r="A9" s="204">
        <v>40046267</v>
      </c>
      <c r="B9" s="10">
        <v>33</v>
      </c>
      <c r="C9" s="11" t="s">
        <v>27</v>
      </c>
      <c r="D9" s="10">
        <v>125</v>
      </c>
      <c r="E9" s="12" t="s">
        <v>131</v>
      </c>
      <c r="F9" s="12" t="s">
        <v>787</v>
      </c>
      <c r="G9" s="12" t="s">
        <v>85</v>
      </c>
      <c r="H9" s="208">
        <v>96999.875</v>
      </c>
      <c r="I9" s="13"/>
      <c r="J9" s="140"/>
      <c r="K9" s="13"/>
      <c r="L9" s="13"/>
      <c r="M9" s="13"/>
      <c r="N9" s="13"/>
      <c r="O9" s="13"/>
      <c r="P9" s="140"/>
      <c r="Q9" s="13"/>
      <c r="R9" s="13"/>
      <c r="S9" s="215"/>
      <c r="T9" s="13"/>
      <c r="U9" s="13">
        <f t="shared" si="2"/>
        <v>0</v>
      </c>
    </row>
    <row r="10" spans="1:21" ht="25.5" hidden="1">
      <c r="A10" s="204">
        <v>40024263</v>
      </c>
      <c r="B10" s="10">
        <v>33</v>
      </c>
      <c r="C10" s="11" t="s">
        <v>27</v>
      </c>
      <c r="D10" s="10">
        <v>125</v>
      </c>
      <c r="E10" s="12" t="s">
        <v>131</v>
      </c>
      <c r="F10" s="12" t="s">
        <v>788</v>
      </c>
      <c r="G10" s="12" t="s">
        <v>89</v>
      </c>
      <c r="H10" s="208">
        <v>46750</v>
      </c>
      <c r="I10" s="13"/>
      <c r="J10" s="140"/>
      <c r="K10" s="13"/>
      <c r="L10" s="13"/>
      <c r="M10" s="13"/>
      <c r="N10" s="13"/>
      <c r="O10" s="13"/>
      <c r="P10" s="140"/>
      <c r="Q10" s="13"/>
      <c r="R10" s="13"/>
      <c r="S10" s="147"/>
      <c r="T10" s="13"/>
      <c r="U10" s="13">
        <f t="shared" ref="U10:U12" si="3">SUM(I10:T10)</f>
        <v>0</v>
      </c>
    </row>
    <row r="11" spans="1:21" hidden="1">
      <c r="A11" s="204">
        <v>40046661</v>
      </c>
      <c r="B11" s="10">
        <v>33</v>
      </c>
      <c r="C11" s="11" t="s">
        <v>27</v>
      </c>
      <c r="D11" s="10">
        <v>125</v>
      </c>
      <c r="E11" s="12" t="s">
        <v>131</v>
      </c>
      <c r="F11" s="12" t="s">
        <v>789</v>
      </c>
      <c r="G11" s="12" t="s">
        <v>96</v>
      </c>
      <c r="H11" s="208">
        <v>78618</v>
      </c>
      <c r="I11" s="13"/>
      <c r="J11" s="140"/>
      <c r="K11" s="13"/>
      <c r="L11" s="13"/>
      <c r="M11" s="13"/>
      <c r="N11" s="13"/>
      <c r="O11" s="13"/>
      <c r="P11" s="140"/>
      <c r="Q11" s="13"/>
      <c r="R11" s="13"/>
      <c r="S11" s="215"/>
      <c r="T11" s="13"/>
      <c r="U11" s="13">
        <f t="shared" si="3"/>
        <v>0</v>
      </c>
    </row>
    <row r="12" spans="1:21" ht="25.5">
      <c r="A12" s="204">
        <v>40024485</v>
      </c>
      <c r="B12" s="10">
        <v>33</v>
      </c>
      <c r="C12" s="11" t="s">
        <v>27</v>
      </c>
      <c r="D12" s="10">
        <v>125</v>
      </c>
      <c r="E12" s="12" t="s">
        <v>131</v>
      </c>
      <c r="F12" s="12" t="s">
        <v>790</v>
      </c>
      <c r="G12" s="12" t="s">
        <v>81</v>
      </c>
      <c r="H12" s="208">
        <v>70520</v>
      </c>
      <c r="I12" s="13"/>
      <c r="J12" s="140"/>
      <c r="K12" s="13">
        <v>4856.0349999999999</v>
      </c>
      <c r="L12" s="13"/>
      <c r="M12" s="13"/>
      <c r="N12" s="13"/>
      <c r="O12" s="13"/>
      <c r="P12" s="140"/>
      <c r="Q12" s="13"/>
      <c r="R12" s="13"/>
      <c r="S12" s="147"/>
      <c r="T12" s="13"/>
      <c r="U12" s="13">
        <f t="shared" si="3"/>
        <v>4856.0349999999999</v>
      </c>
    </row>
    <row r="13" spans="1:21" ht="25.5">
      <c r="A13" s="204">
        <v>40008920</v>
      </c>
      <c r="B13" s="10">
        <v>33</v>
      </c>
      <c r="C13" s="11" t="s">
        <v>27</v>
      </c>
      <c r="D13" s="10">
        <v>125</v>
      </c>
      <c r="E13" s="12" t="s">
        <v>131</v>
      </c>
      <c r="F13" s="12" t="s">
        <v>791</v>
      </c>
      <c r="G13" s="12" t="s">
        <v>81</v>
      </c>
      <c r="H13" s="208">
        <v>94038</v>
      </c>
      <c r="I13" s="13"/>
      <c r="J13" s="140"/>
      <c r="K13" s="13">
        <v>11567.317999999999</v>
      </c>
      <c r="L13" s="13"/>
      <c r="M13" s="13"/>
      <c r="N13" s="13"/>
      <c r="O13" s="13"/>
      <c r="P13" s="140"/>
      <c r="Q13" s="13"/>
      <c r="R13" s="13"/>
      <c r="S13" s="147"/>
      <c r="T13" s="13"/>
      <c r="U13" s="13">
        <f t="shared" ref="U13:U22" si="4">SUM(I13:T13)</f>
        <v>11567.317999999999</v>
      </c>
    </row>
    <row r="14" spans="1:21" ht="25.5" hidden="1">
      <c r="A14" s="204">
        <v>40024229</v>
      </c>
      <c r="B14" s="10">
        <v>33</v>
      </c>
      <c r="C14" s="11" t="s">
        <v>27</v>
      </c>
      <c r="D14" s="10">
        <v>125</v>
      </c>
      <c r="E14" s="12" t="s">
        <v>131</v>
      </c>
      <c r="F14" s="12" t="s">
        <v>792</v>
      </c>
      <c r="G14" s="12" t="s">
        <v>89</v>
      </c>
      <c r="H14" s="208">
        <v>47797</v>
      </c>
      <c r="I14" s="13"/>
      <c r="J14" s="140"/>
      <c r="K14" s="13"/>
      <c r="L14" s="13"/>
      <c r="M14" s="13"/>
      <c r="N14" s="13"/>
      <c r="O14" s="13"/>
      <c r="P14" s="140"/>
      <c r="Q14" s="13"/>
      <c r="R14" s="13"/>
      <c r="S14" s="147"/>
      <c r="T14" s="13"/>
      <c r="U14" s="13">
        <f t="shared" si="4"/>
        <v>0</v>
      </c>
    </row>
    <row r="15" spans="1:21" ht="25.5" hidden="1">
      <c r="A15" s="204">
        <v>40024780</v>
      </c>
      <c r="B15" s="10">
        <v>33</v>
      </c>
      <c r="C15" s="11" t="s">
        <v>27</v>
      </c>
      <c r="D15" s="10">
        <v>125</v>
      </c>
      <c r="E15" s="12" t="s">
        <v>131</v>
      </c>
      <c r="F15" s="12" t="s">
        <v>793</v>
      </c>
      <c r="G15" s="12" t="s">
        <v>92</v>
      </c>
      <c r="H15" s="208">
        <v>99346</v>
      </c>
      <c r="I15" s="13"/>
      <c r="J15" s="140"/>
      <c r="K15" s="13"/>
      <c r="L15" s="13"/>
      <c r="M15" s="13"/>
      <c r="N15" s="13"/>
      <c r="O15" s="13"/>
      <c r="P15" s="140"/>
      <c r="Q15" s="13"/>
      <c r="R15" s="13"/>
      <c r="S15" s="147"/>
      <c r="T15" s="13"/>
      <c r="U15" s="13">
        <f t="shared" si="4"/>
        <v>0</v>
      </c>
    </row>
    <row r="16" spans="1:21" ht="25.5" hidden="1">
      <c r="A16" s="204">
        <v>40045412</v>
      </c>
      <c r="B16" s="10">
        <v>33</v>
      </c>
      <c r="C16" s="11" t="s">
        <v>27</v>
      </c>
      <c r="D16" s="10">
        <v>125</v>
      </c>
      <c r="E16" s="12" t="s">
        <v>131</v>
      </c>
      <c r="F16" s="12" t="s">
        <v>794</v>
      </c>
      <c r="G16" s="12" t="s">
        <v>83</v>
      </c>
      <c r="H16" s="208">
        <v>99044</v>
      </c>
      <c r="I16" s="13"/>
      <c r="J16" s="140"/>
      <c r="K16" s="13"/>
      <c r="L16" s="13"/>
      <c r="M16" s="13"/>
      <c r="N16" s="13"/>
      <c r="O16" s="13"/>
      <c r="P16" s="140"/>
      <c r="Q16" s="13"/>
      <c r="R16" s="13"/>
      <c r="S16" s="147"/>
      <c r="T16" s="13"/>
      <c r="U16" s="13">
        <f t="shared" si="4"/>
        <v>0</v>
      </c>
    </row>
    <row r="17" spans="1:21" ht="25.5" hidden="1">
      <c r="A17" s="204">
        <v>40046557</v>
      </c>
      <c r="B17" s="10">
        <v>33</v>
      </c>
      <c r="C17" s="11" t="s">
        <v>27</v>
      </c>
      <c r="D17" s="10">
        <v>125</v>
      </c>
      <c r="E17" s="12" t="s">
        <v>131</v>
      </c>
      <c r="F17" s="12" t="s">
        <v>795</v>
      </c>
      <c r="G17" s="12" t="s">
        <v>99</v>
      </c>
      <c r="H17" s="208">
        <v>136105</v>
      </c>
      <c r="I17" s="13"/>
      <c r="J17" s="140"/>
      <c r="K17" s="13"/>
      <c r="L17" s="13"/>
      <c r="M17" s="13"/>
      <c r="N17" s="13"/>
      <c r="O17" s="13"/>
      <c r="P17" s="140"/>
      <c r="Q17" s="13"/>
      <c r="R17" s="13"/>
      <c r="S17" s="147"/>
      <c r="T17" s="13"/>
      <c r="U17" s="13">
        <f t="shared" si="4"/>
        <v>0</v>
      </c>
    </row>
    <row r="18" spans="1:21" ht="25.5" hidden="1">
      <c r="A18" s="204">
        <v>40045932</v>
      </c>
      <c r="B18" s="10">
        <v>33</v>
      </c>
      <c r="C18" s="11" t="s">
        <v>27</v>
      </c>
      <c r="D18" s="10">
        <v>125</v>
      </c>
      <c r="E18" s="12" t="s">
        <v>131</v>
      </c>
      <c r="F18" s="12" t="s">
        <v>796</v>
      </c>
      <c r="G18" s="12" t="s">
        <v>84</v>
      </c>
      <c r="H18" s="208">
        <v>65000</v>
      </c>
      <c r="I18" s="13"/>
      <c r="J18" s="140"/>
      <c r="K18" s="13"/>
      <c r="L18" s="13"/>
      <c r="M18" s="13"/>
      <c r="N18" s="13"/>
      <c r="O18" s="13"/>
      <c r="P18" s="140"/>
      <c r="Q18" s="13"/>
      <c r="R18" s="13"/>
      <c r="S18" s="147"/>
      <c r="T18" s="13"/>
      <c r="U18" s="13">
        <f t="shared" si="4"/>
        <v>0</v>
      </c>
    </row>
    <row r="19" spans="1:21" hidden="1">
      <c r="A19" s="204">
        <v>40042924</v>
      </c>
      <c r="B19" s="10">
        <v>33</v>
      </c>
      <c r="C19" s="11" t="s">
        <v>27</v>
      </c>
      <c r="D19" s="10">
        <v>125</v>
      </c>
      <c r="E19" s="12" t="s">
        <v>131</v>
      </c>
      <c r="F19" s="12" t="s">
        <v>797</v>
      </c>
      <c r="G19" s="12" t="s">
        <v>82</v>
      </c>
      <c r="H19" s="208">
        <v>108725</v>
      </c>
      <c r="I19" s="13"/>
      <c r="J19" s="140"/>
      <c r="K19" s="13"/>
      <c r="L19" s="13"/>
      <c r="M19" s="13"/>
      <c r="N19" s="13"/>
      <c r="O19" s="13"/>
      <c r="P19" s="140"/>
      <c r="Q19" s="13"/>
      <c r="R19" s="13"/>
      <c r="S19" s="147"/>
      <c r="T19" s="13"/>
      <c r="U19" s="13">
        <f t="shared" si="4"/>
        <v>0</v>
      </c>
    </row>
    <row r="20" spans="1:21" ht="25.5" hidden="1">
      <c r="A20" s="204">
        <v>40022408</v>
      </c>
      <c r="B20" s="10">
        <v>33</v>
      </c>
      <c r="C20" s="11" t="s">
        <v>27</v>
      </c>
      <c r="D20" s="10">
        <v>125</v>
      </c>
      <c r="E20" s="12" t="s">
        <v>131</v>
      </c>
      <c r="F20" s="12" t="s">
        <v>798</v>
      </c>
      <c r="G20" s="12" t="s">
        <v>82</v>
      </c>
      <c r="H20" s="208">
        <v>99339</v>
      </c>
      <c r="I20" s="13"/>
      <c r="J20" s="140"/>
      <c r="K20" s="13"/>
      <c r="L20" s="13"/>
      <c r="M20" s="13"/>
      <c r="N20" s="13"/>
      <c r="O20" s="13"/>
      <c r="P20" s="140"/>
      <c r="Q20" s="13"/>
      <c r="R20" s="13"/>
      <c r="S20" s="147"/>
      <c r="T20" s="13"/>
      <c r="U20" s="13">
        <f t="shared" si="4"/>
        <v>0</v>
      </c>
    </row>
    <row r="21" spans="1:21" hidden="1">
      <c r="A21" s="204">
        <v>40054280</v>
      </c>
      <c r="B21" s="10">
        <v>33</v>
      </c>
      <c r="C21" s="11" t="s">
        <v>27</v>
      </c>
      <c r="D21" s="10">
        <v>125</v>
      </c>
      <c r="E21" s="12" t="s">
        <v>131</v>
      </c>
      <c r="F21" s="12" t="s">
        <v>799</v>
      </c>
      <c r="G21" s="12" t="s">
        <v>93</v>
      </c>
      <c r="H21" s="208">
        <v>185307</v>
      </c>
      <c r="I21" s="13"/>
      <c r="J21" s="140"/>
      <c r="K21" s="13"/>
      <c r="L21" s="13"/>
      <c r="M21" s="13"/>
      <c r="N21" s="13"/>
      <c r="O21" s="13"/>
      <c r="P21" s="140"/>
      <c r="Q21" s="13"/>
      <c r="R21" s="13"/>
      <c r="S21" s="147"/>
      <c r="T21" s="13"/>
      <c r="U21" s="13">
        <f t="shared" si="4"/>
        <v>0</v>
      </c>
    </row>
    <row r="22" spans="1:21" hidden="1">
      <c r="A22" s="204">
        <v>40046617</v>
      </c>
      <c r="B22" s="10">
        <v>33</v>
      </c>
      <c r="C22" s="11" t="s">
        <v>27</v>
      </c>
      <c r="D22" s="10">
        <v>125</v>
      </c>
      <c r="E22" s="12" t="s">
        <v>131</v>
      </c>
      <c r="F22" s="12" t="s">
        <v>800</v>
      </c>
      <c r="G22" s="12" t="s">
        <v>98</v>
      </c>
      <c r="H22" s="208">
        <v>90823</v>
      </c>
      <c r="I22" s="13"/>
      <c r="J22" s="140"/>
      <c r="K22" s="13"/>
      <c r="L22" s="13"/>
      <c r="M22" s="13"/>
      <c r="N22" s="13"/>
      <c r="O22" s="13"/>
      <c r="P22" s="140"/>
      <c r="Q22" s="13"/>
      <c r="R22" s="13"/>
      <c r="S22" s="147"/>
      <c r="T22" s="13"/>
      <c r="U22" s="13">
        <f t="shared" si="4"/>
        <v>0</v>
      </c>
    </row>
    <row r="23" spans="1:21" ht="25.5">
      <c r="A23" s="204">
        <v>40044387</v>
      </c>
      <c r="B23" s="10">
        <v>33</v>
      </c>
      <c r="C23" s="11" t="s">
        <v>27</v>
      </c>
      <c r="D23" s="10">
        <v>125</v>
      </c>
      <c r="E23" s="12" t="s">
        <v>131</v>
      </c>
      <c r="F23" s="12" t="s">
        <v>801</v>
      </c>
      <c r="G23" s="12" t="s">
        <v>83</v>
      </c>
      <c r="H23" s="208">
        <v>123054</v>
      </c>
      <c r="I23" s="13"/>
      <c r="J23" s="140"/>
      <c r="K23" s="13">
        <v>18078.952000000001</v>
      </c>
      <c r="L23" s="13"/>
      <c r="M23" s="13"/>
      <c r="N23" s="13"/>
      <c r="O23" s="13"/>
      <c r="P23" s="140"/>
      <c r="Q23" s="13"/>
      <c r="R23" s="13"/>
      <c r="S23" s="147"/>
      <c r="T23" s="13"/>
      <c r="U23" s="13">
        <f>SUM(I23:T23)</f>
        <v>18078.952000000001</v>
      </c>
    </row>
    <row r="24" spans="1:21" hidden="1">
      <c r="A24" s="204">
        <v>40024164</v>
      </c>
      <c r="B24" s="10">
        <v>33</v>
      </c>
      <c r="C24" s="11" t="s">
        <v>27</v>
      </c>
      <c r="D24" s="10">
        <v>125</v>
      </c>
      <c r="E24" s="12" t="s">
        <v>131</v>
      </c>
      <c r="F24" s="12" t="s">
        <v>802</v>
      </c>
      <c r="G24" s="12" t="s">
        <v>91</v>
      </c>
      <c r="H24" s="208">
        <v>121360</v>
      </c>
      <c r="I24" s="13"/>
      <c r="J24" s="140"/>
      <c r="K24" s="13"/>
      <c r="L24" s="13"/>
      <c r="M24" s="13"/>
      <c r="N24" s="13"/>
      <c r="O24" s="13"/>
      <c r="P24" s="140"/>
      <c r="Q24" s="13"/>
      <c r="R24" s="13"/>
      <c r="S24" s="147"/>
      <c r="T24" s="13"/>
      <c r="U24" s="13">
        <f t="shared" ref="U24:U25" si="5">SUM(I24:T24)</f>
        <v>0</v>
      </c>
    </row>
    <row r="25" spans="1:21" ht="25.5" hidden="1">
      <c r="A25" s="204">
        <v>40045460</v>
      </c>
      <c r="B25" s="10">
        <v>33</v>
      </c>
      <c r="C25" s="11" t="s">
        <v>27</v>
      </c>
      <c r="D25" s="10">
        <v>125</v>
      </c>
      <c r="E25" s="12" t="s">
        <v>131</v>
      </c>
      <c r="F25" s="12" t="s">
        <v>803</v>
      </c>
      <c r="G25" s="12" t="s">
        <v>85</v>
      </c>
      <c r="H25" s="208">
        <v>185247</v>
      </c>
      <c r="I25" s="13"/>
      <c r="J25" s="140"/>
      <c r="K25" s="13"/>
      <c r="L25" s="13"/>
      <c r="M25" s="13"/>
      <c r="N25" s="13"/>
      <c r="O25" s="13"/>
      <c r="P25" s="140"/>
      <c r="Q25" s="13"/>
      <c r="R25" s="13"/>
      <c r="S25" s="147"/>
      <c r="T25" s="13"/>
      <c r="U25" s="13">
        <f t="shared" si="5"/>
        <v>0</v>
      </c>
    </row>
    <row r="26" spans="1:21" ht="25.5">
      <c r="A26" s="204">
        <v>40042912</v>
      </c>
      <c r="B26" s="10">
        <v>33</v>
      </c>
      <c r="C26" s="11" t="s">
        <v>27</v>
      </c>
      <c r="D26" s="10">
        <v>125</v>
      </c>
      <c r="E26" s="12" t="s">
        <v>131</v>
      </c>
      <c r="F26" s="12" t="s">
        <v>804</v>
      </c>
      <c r="G26" s="12" t="s">
        <v>81</v>
      </c>
      <c r="H26" s="208">
        <v>92653</v>
      </c>
      <c r="I26" s="13"/>
      <c r="J26" s="140"/>
      <c r="K26" s="13"/>
      <c r="L26" s="13"/>
      <c r="M26" s="13"/>
      <c r="N26" s="13">
        <v>1712.68</v>
      </c>
      <c r="O26" s="13">
        <v>3051.482</v>
      </c>
      <c r="P26" s="140"/>
      <c r="Q26" s="13"/>
      <c r="R26" s="13"/>
      <c r="S26" s="147"/>
      <c r="T26" s="13"/>
      <c r="U26" s="13">
        <f>SUM(I26:T26)</f>
        <v>4764.1620000000003</v>
      </c>
    </row>
    <row r="27" spans="1:21" ht="25.5">
      <c r="A27" s="204">
        <v>40051812</v>
      </c>
      <c r="B27" s="10">
        <v>33</v>
      </c>
      <c r="C27" s="11" t="s">
        <v>27</v>
      </c>
      <c r="D27" s="10">
        <v>125</v>
      </c>
      <c r="E27" s="12" t="s">
        <v>131</v>
      </c>
      <c r="F27" s="12" t="s">
        <v>805</v>
      </c>
      <c r="G27" s="12" t="s">
        <v>89</v>
      </c>
      <c r="H27" s="208">
        <v>185307</v>
      </c>
      <c r="I27" s="13"/>
      <c r="J27" s="140">
        <v>44059.415999999997</v>
      </c>
      <c r="K27" s="13"/>
      <c r="L27" s="13"/>
      <c r="M27" s="13"/>
      <c r="N27" s="13"/>
      <c r="O27" s="13"/>
      <c r="P27" s="140"/>
      <c r="Q27" s="13"/>
      <c r="R27" s="13"/>
      <c r="S27" s="147"/>
      <c r="T27" s="13"/>
      <c r="U27" s="13">
        <f t="shared" ref="U27:U28" si="6">SUM(I27:T27)</f>
        <v>44059.415999999997</v>
      </c>
    </row>
    <row r="28" spans="1:21" hidden="1">
      <c r="A28" s="204">
        <v>40046990</v>
      </c>
      <c r="B28" s="10">
        <v>33</v>
      </c>
      <c r="C28" s="11" t="s">
        <v>27</v>
      </c>
      <c r="D28" s="10">
        <v>125</v>
      </c>
      <c r="E28" s="12" t="s">
        <v>131</v>
      </c>
      <c r="F28" s="12" t="s">
        <v>806</v>
      </c>
      <c r="G28" s="12" t="s">
        <v>97</v>
      </c>
      <c r="H28" s="208">
        <v>119471.929</v>
      </c>
      <c r="I28" s="13"/>
      <c r="J28" s="140"/>
      <c r="K28" s="13"/>
      <c r="L28" s="13"/>
      <c r="M28" s="13"/>
      <c r="N28" s="13"/>
      <c r="O28" s="13"/>
      <c r="P28" s="140"/>
      <c r="Q28" s="13"/>
      <c r="R28" s="278"/>
      <c r="S28" s="147"/>
      <c r="T28" s="13"/>
      <c r="U28" s="13">
        <f t="shared" si="6"/>
        <v>0</v>
      </c>
    </row>
    <row r="29" spans="1:21" ht="25.5">
      <c r="A29" s="204">
        <v>40024819</v>
      </c>
      <c r="B29" s="10">
        <v>33</v>
      </c>
      <c r="C29" s="11" t="s">
        <v>27</v>
      </c>
      <c r="D29" s="10">
        <v>125</v>
      </c>
      <c r="E29" s="12" t="s">
        <v>131</v>
      </c>
      <c r="F29" s="12" t="s">
        <v>807</v>
      </c>
      <c r="G29" s="12" t="s">
        <v>90</v>
      </c>
      <c r="H29" s="208">
        <v>106866</v>
      </c>
      <c r="I29" s="13"/>
      <c r="J29" s="140"/>
      <c r="K29" s="13">
        <v>1499.4</v>
      </c>
      <c r="L29" s="13"/>
      <c r="M29" s="13"/>
      <c r="N29" s="13"/>
      <c r="O29" s="13"/>
      <c r="P29" s="140"/>
      <c r="Q29" s="13"/>
      <c r="R29" s="278"/>
      <c r="S29" s="147"/>
      <c r="T29" s="13"/>
      <c r="U29" s="13">
        <f t="shared" ref="U29" si="7">SUM(I29:T29)</f>
        <v>1499.4</v>
      </c>
    </row>
    <row r="30" spans="1:21" ht="38.25" hidden="1">
      <c r="A30" s="204">
        <v>40053029</v>
      </c>
      <c r="B30" s="10">
        <v>33</v>
      </c>
      <c r="C30" s="11" t="s">
        <v>27</v>
      </c>
      <c r="D30" s="10">
        <v>125</v>
      </c>
      <c r="E30" s="12" t="s">
        <v>131</v>
      </c>
      <c r="F30" s="12" t="s">
        <v>808</v>
      </c>
      <c r="G30" s="12" t="s">
        <v>90</v>
      </c>
      <c r="H30" s="208">
        <v>87639.008000000002</v>
      </c>
      <c r="I30" s="13"/>
      <c r="J30" s="140"/>
      <c r="K30" s="13"/>
      <c r="L30" s="13"/>
      <c r="M30" s="13"/>
      <c r="N30" s="13"/>
      <c r="O30" s="13"/>
      <c r="P30" s="140"/>
      <c r="Q30" s="13"/>
      <c r="R30" s="13"/>
      <c r="S30" s="147"/>
      <c r="T30" s="13"/>
      <c r="U30" s="13">
        <f t="shared" ref="U30" si="8">SUM(I30:T30)</f>
        <v>0</v>
      </c>
    </row>
    <row r="31" spans="1:21" ht="25.5" hidden="1">
      <c r="A31" s="204">
        <v>40044145</v>
      </c>
      <c r="B31" s="10">
        <v>33</v>
      </c>
      <c r="C31" s="11" t="s">
        <v>27</v>
      </c>
      <c r="D31" s="10">
        <v>125</v>
      </c>
      <c r="E31" s="12" t="s">
        <v>131</v>
      </c>
      <c r="F31" s="12" t="s">
        <v>809</v>
      </c>
      <c r="G31" s="12" t="s">
        <v>92</v>
      </c>
      <c r="H31" s="208">
        <v>50018.535000000003</v>
      </c>
      <c r="I31" s="13"/>
      <c r="J31" s="140"/>
      <c r="K31" s="13"/>
      <c r="L31" s="13"/>
      <c r="M31" s="13"/>
      <c r="N31" s="13"/>
      <c r="O31" s="13"/>
      <c r="P31" s="140"/>
      <c r="Q31" s="13"/>
      <c r="R31" s="278"/>
      <c r="S31" s="147"/>
      <c r="T31" s="13"/>
      <c r="U31" s="13">
        <f t="shared" ref="U31" si="9">SUM(I31:T31)</f>
        <v>0</v>
      </c>
    </row>
    <row r="32" spans="1:21" ht="25.5" hidden="1">
      <c r="A32" s="204">
        <v>40044142</v>
      </c>
      <c r="B32" s="10">
        <v>33</v>
      </c>
      <c r="C32" s="11" t="s">
        <v>27</v>
      </c>
      <c r="D32" s="10">
        <v>125</v>
      </c>
      <c r="E32" s="12" t="s">
        <v>131</v>
      </c>
      <c r="F32" s="12" t="s">
        <v>810</v>
      </c>
      <c r="G32" s="12" t="s">
        <v>92</v>
      </c>
      <c r="H32" s="208">
        <v>123910.465</v>
      </c>
      <c r="I32" s="13"/>
      <c r="J32" s="140"/>
      <c r="K32" s="13"/>
      <c r="L32" s="13"/>
      <c r="M32" s="13"/>
      <c r="N32" s="13"/>
      <c r="O32" s="13"/>
      <c r="P32" s="140"/>
      <c r="Q32" s="13"/>
      <c r="R32" s="13"/>
      <c r="S32" s="147"/>
      <c r="T32" s="13"/>
      <c r="U32" s="13">
        <f>SUM(I32:T32)</f>
        <v>0</v>
      </c>
    </row>
    <row r="33" spans="1:21" hidden="1">
      <c r="A33" s="204">
        <v>40024226</v>
      </c>
      <c r="B33" s="10">
        <v>33</v>
      </c>
      <c r="C33" s="11" t="s">
        <v>27</v>
      </c>
      <c r="D33" s="10">
        <v>125</v>
      </c>
      <c r="E33" s="12" t="s">
        <v>131</v>
      </c>
      <c r="F33" s="12" t="s">
        <v>811</v>
      </c>
      <c r="G33" s="12" t="s">
        <v>89</v>
      </c>
      <c r="H33" s="208">
        <v>41293</v>
      </c>
      <c r="I33" s="13"/>
      <c r="J33" s="140"/>
      <c r="K33" s="13"/>
      <c r="L33" s="13"/>
      <c r="M33" s="13"/>
      <c r="N33" s="13"/>
      <c r="O33" s="13"/>
      <c r="P33" s="140"/>
      <c r="Q33" s="13"/>
      <c r="R33" s="13"/>
      <c r="S33" s="147"/>
      <c r="T33" s="13"/>
      <c r="U33" s="13">
        <f t="shared" ref="U33" si="10">SUM(I33:T33)</f>
        <v>0</v>
      </c>
    </row>
    <row r="34" spans="1:21" ht="25.5">
      <c r="A34" s="204">
        <v>40055075</v>
      </c>
      <c r="B34" s="10">
        <v>33</v>
      </c>
      <c r="C34" s="11" t="s">
        <v>27</v>
      </c>
      <c r="D34" s="10">
        <v>125</v>
      </c>
      <c r="E34" s="12" t="s">
        <v>131</v>
      </c>
      <c r="F34" s="12" t="s">
        <v>812</v>
      </c>
      <c r="G34" s="12" t="s">
        <v>99</v>
      </c>
      <c r="H34" s="208">
        <v>184680.21100000001</v>
      </c>
      <c r="I34" s="13"/>
      <c r="J34" s="140">
        <v>10854.383</v>
      </c>
      <c r="K34" s="13">
        <v>17209.388999999999</v>
      </c>
      <c r="L34" s="13">
        <v>18694.834999999999</v>
      </c>
      <c r="M34" s="13">
        <v>14537.77</v>
      </c>
      <c r="N34" s="13">
        <v>14097.489</v>
      </c>
      <c r="O34" s="13"/>
      <c r="P34" s="140"/>
      <c r="Q34" s="13"/>
      <c r="R34" s="13"/>
      <c r="S34" s="147"/>
      <c r="T34" s="13"/>
      <c r="U34" s="13">
        <f t="shared" ref="U34" si="11">SUM(I34:T34)</f>
        <v>75393.865999999995</v>
      </c>
    </row>
    <row r="35" spans="1:21" ht="25.5" hidden="1">
      <c r="A35" s="204">
        <v>40024791</v>
      </c>
      <c r="B35" s="10">
        <v>33</v>
      </c>
      <c r="C35" s="11" t="s">
        <v>27</v>
      </c>
      <c r="D35" s="10">
        <v>125</v>
      </c>
      <c r="E35" s="12" t="s">
        <v>131</v>
      </c>
      <c r="F35" s="12" t="s">
        <v>813</v>
      </c>
      <c r="G35" s="12" t="s">
        <v>86</v>
      </c>
      <c r="H35" s="208">
        <v>110161</v>
      </c>
      <c r="I35" s="13"/>
      <c r="J35" s="140"/>
      <c r="K35" s="13"/>
      <c r="L35" s="13"/>
      <c r="M35" s="13"/>
      <c r="N35" s="13"/>
      <c r="O35" s="13"/>
      <c r="P35" s="140"/>
      <c r="Q35" s="13"/>
      <c r="R35" s="13"/>
      <c r="S35" s="147"/>
      <c r="T35" s="13"/>
      <c r="U35" s="13">
        <f t="shared" ref="U35" si="12">SUM(I35:T35)</f>
        <v>0</v>
      </c>
    </row>
    <row r="36" spans="1:21" ht="38.25" hidden="1">
      <c r="A36" s="204">
        <v>40054796</v>
      </c>
      <c r="B36" s="10">
        <v>33</v>
      </c>
      <c r="C36" s="11" t="s">
        <v>27</v>
      </c>
      <c r="D36" s="10">
        <v>125</v>
      </c>
      <c r="E36" s="12" t="s">
        <v>131</v>
      </c>
      <c r="F36" s="12" t="s">
        <v>814</v>
      </c>
      <c r="G36" s="12" t="s">
        <v>86</v>
      </c>
      <c r="H36" s="208">
        <v>185307</v>
      </c>
      <c r="I36" s="13"/>
      <c r="J36" s="140"/>
      <c r="K36" s="13"/>
      <c r="L36" s="13"/>
      <c r="M36" s="13"/>
      <c r="N36" s="13"/>
      <c r="O36" s="13"/>
      <c r="P36" s="140"/>
      <c r="Q36" s="13"/>
      <c r="R36" s="13"/>
      <c r="S36" s="147"/>
      <c r="T36" s="13"/>
      <c r="U36" s="13">
        <f t="shared" ref="U36" si="13">SUM(I36:T36)</f>
        <v>0</v>
      </c>
    </row>
    <row r="37" spans="1:21" hidden="1">
      <c r="A37" s="204">
        <v>40043581</v>
      </c>
      <c r="B37" s="10">
        <v>33</v>
      </c>
      <c r="C37" s="11" t="s">
        <v>27</v>
      </c>
      <c r="D37" s="10">
        <v>125</v>
      </c>
      <c r="E37" s="12" t="s">
        <v>131</v>
      </c>
      <c r="F37" s="12" t="s">
        <v>815</v>
      </c>
      <c r="G37" s="12" t="s">
        <v>86</v>
      </c>
      <c r="H37" s="208">
        <v>81000</v>
      </c>
      <c r="I37" s="13"/>
      <c r="J37" s="140"/>
      <c r="K37" s="13"/>
      <c r="L37" s="13"/>
      <c r="M37" s="13"/>
      <c r="N37" s="13"/>
      <c r="O37" s="13"/>
      <c r="P37" s="140"/>
      <c r="Q37" s="13"/>
      <c r="R37" s="13"/>
      <c r="S37" s="147"/>
      <c r="T37" s="13"/>
      <c r="U37" s="13">
        <f>SUM(I37:T37)</f>
        <v>0</v>
      </c>
    </row>
    <row r="38" spans="1:21" ht="25.5">
      <c r="A38" s="204">
        <v>40024661</v>
      </c>
      <c r="B38" s="10">
        <v>33</v>
      </c>
      <c r="C38" s="11" t="s">
        <v>27</v>
      </c>
      <c r="D38" s="10">
        <v>125</v>
      </c>
      <c r="E38" s="12" t="s">
        <v>131</v>
      </c>
      <c r="F38" s="12" t="s">
        <v>816</v>
      </c>
      <c r="G38" s="12" t="s">
        <v>96</v>
      </c>
      <c r="H38" s="208">
        <v>60000</v>
      </c>
      <c r="I38" s="13"/>
      <c r="J38" s="140"/>
      <c r="K38" s="13"/>
      <c r="L38" s="13">
        <v>4880.2929999999997</v>
      </c>
      <c r="M38" s="13"/>
      <c r="N38" s="13"/>
      <c r="O38" s="13"/>
      <c r="P38" s="140"/>
      <c r="Q38" s="13"/>
      <c r="R38" s="13"/>
      <c r="S38" s="147"/>
      <c r="T38" s="13"/>
      <c r="U38" s="13">
        <f t="shared" ref="U38:U43" si="14">SUM(I38:T38)</f>
        <v>4880.2929999999997</v>
      </c>
    </row>
    <row r="39" spans="1:21" ht="25.5">
      <c r="A39" s="204">
        <v>40054187</v>
      </c>
      <c r="B39" s="10">
        <v>33</v>
      </c>
      <c r="C39" s="11" t="s">
        <v>27</v>
      </c>
      <c r="D39" s="10">
        <v>125</v>
      </c>
      <c r="E39" s="12" t="s">
        <v>131</v>
      </c>
      <c r="F39" s="12" t="s">
        <v>817</v>
      </c>
      <c r="G39" s="12" t="s">
        <v>96</v>
      </c>
      <c r="H39" s="208">
        <v>89941</v>
      </c>
      <c r="I39" s="13"/>
      <c r="J39" s="140"/>
      <c r="K39" s="13"/>
      <c r="L39" s="13">
        <v>3813.7660000000001</v>
      </c>
      <c r="M39" s="13"/>
      <c r="N39" s="13">
        <v>37886.947</v>
      </c>
      <c r="O39" s="13">
        <v>29738.714</v>
      </c>
      <c r="P39" s="140"/>
      <c r="Q39" s="13"/>
      <c r="R39" s="13"/>
      <c r="S39" s="147"/>
      <c r="T39" s="13"/>
      <c r="U39" s="13">
        <f t="shared" si="14"/>
        <v>71439.426999999996</v>
      </c>
    </row>
    <row r="40" spans="1:21" ht="25.5">
      <c r="A40" s="204">
        <v>40062899</v>
      </c>
      <c r="B40" s="10">
        <v>33</v>
      </c>
      <c r="C40" s="11" t="s">
        <v>27</v>
      </c>
      <c r="D40" s="10">
        <v>125</v>
      </c>
      <c r="E40" s="12" t="s">
        <v>131</v>
      </c>
      <c r="F40" s="12" t="s">
        <v>818</v>
      </c>
      <c r="G40" s="12" t="s">
        <v>96</v>
      </c>
      <c r="H40" s="208">
        <v>146283</v>
      </c>
      <c r="I40" s="13"/>
      <c r="J40" s="140"/>
      <c r="K40" s="13"/>
      <c r="L40" s="13">
        <v>7970.3429999999998</v>
      </c>
      <c r="M40" s="13"/>
      <c r="N40" s="13">
        <v>40770.188999999998</v>
      </c>
      <c r="O40" s="13">
        <v>22388.202000000001</v>
      </c>
      <c r="P40" s="140"/>
      <c r="Q40" s="13"/>
      <c r="R40" s="13"/>
      <c r="S40" s="147"/>
      <c r="T40" s="13"/>
      <c r="U40" s="13">
        <f t="shared" si="14"/>
        <v>71128.733999999997</v>
      </c>
    </row>
    <row r="41" spans="1:21" ht="25.5">
      <c r="A41" s="204">
        <v>40063632</v>
      </c>
      <c r="B41" s="10">
        <v>33</v>
      </c>
      <c r="C41" s="11" t="s">
        <v>27</v>
      </c>
      <c r="D41" s="10">
        <v>125</v>
      </c>
      <c r="E41" s="12" t="s">
        <v>131</v>
      </c>
      <c r="F41" s="12" t="s">
        <v>819</v>
      </c>
      <c r="G41" s="12" t="s">
        <v>93</v>
      </c>
      <c r="H41" s="208">
        <v>173983</v>
      </c>
      <c r="I41" s="13"/>
      <c r="J41" s="140"/>
      <c r="K41" s="13"/>
      <c r="L41" s="13">
        <v>30884.37</v>
      </c>
      <c r="M41" s="13">
        <v>115945.159</v>
      </c>
      <c r="N41" s="13"/>
      <c r="O41" s="13"/>
      <c r="P41" s="140"/>
      <c r="Q41" s="13"/>
      <c r="R41" s="13"/>
      <c r="S41" s="147"/>
      <c r="T41" s="13"/>
      <c r="U41" s="13">
        <f t="shared" si="14"/>
        <v>146829.52900000001</v>
      </c>
    </row>
    <row r="42" spans="1:21" ht="25.5">
      <c r="A42" s="204">
        <v>40063985</v>
      </c>
      <c r="B42" s="10">
        <v>33</v>
      </c>
      <c r="C42" s="11" t="s">
        <v>27</v>
      </c>
      <c r="D42" s="10">
        <v>125</v>
      </c>
      <c r="E42" s="12" t="s">
        <v>131</v>
      </c>
      <c r="F42" s="12" t="s">
        <v>820</v>
      </c>
      <c r="G42" s="12" t="s">
        <v>89</v>
      </c>
      <c r="H42" s="208">
        <v>82236</v>
      </c>
      <c r="I42" s="13"/>
      <c r="J42" s="140"/>
      <c r="K42" s="13"/>
      <c r="L42" s="13">
        <v>37905.279999999999</v>
      </c>
      <c r="M42" s="13"/>
      <c r="N42" s="13">
        <v>35135.493999999999</v>
      </c>
      <c r="O42" s="13"/>
      <c r="P42" s="140"/>
      <c r="Q42" s="13"/>
      <c r="R42" s="13"/>
      <c r="S42" s="147"/>
      <c r="T42" s="13"/>
      <c r="U42" s="13">
        <f t="shared" si="14"/>
        <v>73040.774000000005</v>
      </c>
    </row>
    <row r="43" spans="1:21">
      <c r="A43" s="204">
        <v>40063739</v>
      </c>
      <c r="B43" s="10">
        <v>33</v>
      </c>
      <c r="C43" s="11" t="s">
        <v>27</v>
      </c>
      <c r="D43" s="10">
        <v>125</v>
      </c>
      <c r="E43" s="12" t="s">
        <v>131</v>
      </c>
      <c r="F43" s="12" t="s">
        <v>821</v>
      </c>
      <c r="G43" s="12" t="s">
        <v>93</v>
      </c>
      <c r="H43" s="208">
        <v>80000</v>
      </c>
      <c r="I43" s="13"/>
      <c r="J43" s="140"/>
      <c r="K43" s="13"/>
      <c r="L43" s="13">
        <v>59773.728999999999</v>
      </c>
      <c r="M43" s="13">
        <v>12119.645</v>
      </c>
      <c r="N43" s="13"/>
      <c r="O43" s="13">
        <v>8101.9750000000004</v>
      </c>
      <c r="P43" s="140"/>
      <c r="Q43" s="13"/>
      <c r="R43" s="13"/>
      <c r="S43" s="147"/>
      <c r="T43" s="13"/>
      <c r="U43" s="13">
        <f t="shared" si="14"/>
        <v>79995.349000000002</v>
      </c>
    </row>
    <row r="44" spans="1:21" ht="25.5">
      <c r="A44" s="204">
        <v>40062262</v>
      </c>
      <c r="B44" s="10">
        <v>33</v>
      </c>
      <c r="C44" s="11" t="s">
        <v>27</v>
      </c>
      <c r="D44" s="10">
        <v>125</v>
      </c>
      <c r="E44" s="12" t="s">
        <v>131</v>
      </c>
      <c r="F44" s="12" t="s">
        <v>822</v>
      </c>
      <c r="G44" s="12" t="s">
        <v>93</v>
      </c>
      <c r="H44" s="208">
        <v>193998</v>
      </c>
      <c r="I44" s="13"/>
      <c r="J44" s="140"/>
      <c r="K44" s="13">
        <v>51245.008999999998</v>
      </c>
      <c r="L44" s="13">
        <v>92882.142999999996</v>
      </c>
      <c r="M44" s="13">
        <v>29833.643</v>
      </c>
      <c r="N44" s="13"/>
      <c r="O44" s="13">
        <v>20037.205000000002</v>
      </c>
      <c r="P44" s="140"/>
      <c r="Q44" s="13"/>
      <c r="R44" s="13"/>
      <c r="S44" s="147"/>
      <c r="T44" s="13"/>
      <c r="U44" s="13">
        <f>SUM(I44:T44)</f>
        <v>193998</v>
      </c>
    </row>
    <row r="45" spans="1:21" ht="25.5">
      <c r="A45" s="204">
        <v>40024665</v>
      </c>
      <c r="B45" s="10">
        <v>33</v>
      </c>
      <c r="C45" s="11" t="s">
        <v>27</v>
      </c>
      <c r="D45" s="10">
        <v>125</v>
      </c>
      <c r="E45" s="12" t="s">
        <v>131</v>
      </c>
      <c r="F45" s="12" t="s">
        <v>823</v>
      </c>
      <c r="G45" s="12" t="s">
        <v>96</v>
      </c>
      <c r="H45" s="208">
        <v>95367</v>
      </c>
      <c r="I45" s="13"/>
      <c r="J45" s="140"/>
      <c r="K45" s="13"/>
      <c r="L45" s="13"/>
      <c r="M45" s="13">
        <v>23437.24</v>
      </c>
      <c r="N45" s="13">
        <v>9966.7250000000004</v>
      </c>
      <c r="O45" s="13"/>
      <c r="P45" s="140"/>
      <c r="Q45" s="13"/>
      <c r="R45" s="13"/>
      <c r="S45" s="147"/>
      <c r="T45" s="13"/>
      <c r="U45" s="13">
        <f t="shared" ref="U45:U47" si="15">SUM(I45:T45)</f>
        <v>33403.965000000004</v>
      </c>
    </row>
    <row r="46" spans="1:21" ht="38.25">
      <c r="A46" s="204">
        <v>40062901</v>
      </c>
      <c r="B46" s="10">
        <v>33</v>
      </c>
      <c r="C46" s="11" t="s">
        <v>27</v>
      </c>
      <c r="D46" s="10">
        <v>125</v>
      </c>
      <c r="E46" s="12" t="s">
        <v>131</v>
      </c>
      <c r="F46" s="12" t="s">
        <v>824</v>
      </c>
      <c r="G46" s="12" t="s">
        <v>96</v>
      </c>
      <c r="H46" s="208">
        <v>115000</v>
      </c>
      <c r="I46" s="13"/>
      <c r="J46" s="140"/>
      <c r="K46" s="13"/>
      <c r="L46" s="13"/>
      <c r="M46" s="13">
        <v>64327.728999999999</v>
      </c>
      <c r="N46" s="13">
        <v>37144.731</v>
      </c>
      <c r="O46" s="13"/>
      <c r="P46" s="140"/>
      <c r="Q46" s="13"/>
      <c r="R46" s="13"/>
      <c r="S46" s="147"/>
      <c r="T46" s="13"/>
      <c r="U46" s="13">
        <f t="shared" si="15"/>
        <v>101472.45999999999</v>
      </c>
    </row>
    <row r="47" spans="1:21" ht="25.5">
      <c r="A47" s="204">
        <v>40062895</v>
      </c>
      <c r="B47" s="10">
        <v>33</v>
      </c>
      <c r="C47" s="11" t="s">
        <v>27</v>
      </c>
      <c r="D47" s="10">
        <v>125</v>
      </c>
      <c r="E47" s="12" t="s">
        <v>131</v>
      </c>
      <c r="F47" s="12" t="s">
        <v>825</v>
      </c>
      <c r="G47" s="12" t="s">
        <v>96</v>
      </c>
      <c r="H47" s="208">
        <v>150000</v>
      </c>
      <c r="I47" s="13"/>
      <c r="J47" s="140"/>
      <c r="K47" s="13"/>
      <c r="L47" s="13"/>
      <c r="M47" s="13">
        <v>47725.343000000001</v>
      </c>
      <c r="N47" s="13">
        <v>37748.495999999999</v>
      </c>
      <c r="O47" s="13">
        <v>31688.333999999999</v>
      </c>
      <c r="P47" s="140"/>
      <c r="Q47" s="13"/>
      <c r="R47" s="13"/>
      <c r="S47" s="147"/>
      <c r="T47" s="13"/>
      <c r="U47" s="13">
        <f t="shared" si="15"/>
        <v>117162.17300000001</v>
      </c>
    </row>
    <row r="48" spans="1:21" ht="25.5">
      <c r="A48" s="204">
        <v>40042652</v>
      </c>
      <c r="B48" s="10">
        <v>33</v>
      </c>
      <c r="C48" s="11" t="s">
        <v>27</v>
      </c>
      <c r="D48" s="10">
        <v>125</v>
      </c>
      <c r="E48" s="12" t="s">
        <v>131</v>
      </c>
      <c r="F48" s="12" t="s">
        <v>826</v>
      </c>
      <c r="G48" s="12" t="s">
        <v>93</v>
      </c>
      <c r="H48" s="208">
        <v>64797</v>
      </c>
      <c r="I48" s="13"/>
      <c r="J48" s="140"/>
      <c r="K48" s="13"/>
      <c r="L48" s="13"/>
      <c r="M48" s="13"/>
      <c r="N48" s="13">
        <v>10579.486000000001</v>
      </c>
      <c r="O48" s="13"/>
      <c r="P48" s="140"/>
      <c r="Q48" s="13"/>
      <c r="R48" s="13"/>
      <c r="S48" s="147"/>
      <c r="T48" s="13"/>
      <c r="U48" s="13">
        <f t="shared" ref="U48:U60" si="16">SUM(I48:T48)</f>
        <v>10579.486000000001</v>
      </c>
    </row>
    <row r="49" spans="1:21" ht="51">
      <c r="A49" s="204">
        <v>40062806</v>
      </c>
      <c r="B49" s="10">
        <v>33</v>
      </c>
      <c r="C49" s="11" t="s">
        <v>27</v>
      </c>
      <c r="D49" s="10">
        <v>125</v>
      </c>
      <c r="E49" s="12" t="s">
        <v>131</v>
      </c>
      <c r="F49" s="12" t="s">
        <v>827</v>
      </c>
      <c r="G49" s="12" t="s">
        <v>85</v>
      </c>
      <c r="H49" s="208">
        <v>193942</v>
      </c>
      <c r="I49" s="13"/>
      <c r="J49" s="140"/>
      <c r="K49" s="13"/>
      <c r="L49" s="13"/>
      <c r="M49" s="13"/>
      <c r="N49" s="13">
        <v>77672.606</v>
      </c>
      <c r="O49" s="13"/>
      <c r="P49" s="140"/>
      <c r="Q49" s="13"/>
      <c r="R49" s="13"/>
      <c r="S49" s="147"/>
      <c r="T49" s="13"/>
      <c r="U49" s="13">
        <f t="shared" si="16"/>
        <v>77672.606</v>
      </c>
    </row>
    <row r="50" spans="1:21">
      <c r="A50" s="204">
        <v>40025542</v>
      </c>
      <c r="B50" s="10">
        <v>33</v>
      </c>
      <c r="C50" s="11" t="s">
        <v>27</v>
      </c>
      <c r="D50" s="10">
        <v>125</v>
      </c>
      <c r="E50" s="12" t="s">
        <v>131</v>
      </c>
      <c r="F50" s="12" t="s">
        <v>828</v>
      </c>
      <c r="G50" s="12" t="s">
        <v>99</v>
      </c>
      <c r="H50" s="208">
        <v>193931</v>
      </c>
      <c r="I50" s="13"/>
      <c r="J50" s="140"/>
      <c r="K50" s="13"/>
      <c r="L50" s="13"/>
      <c r="M50" s="13"/>
      <c r="N50" s="13">
        <v>13660.611999999999</v>
      </c>
      <c r="O50" s="13">
        <v>18757.481</v>
      </c>
      <c r="P50" s="140"/>
      <c r="Q50" s="13"/>
      <c r="R50" s="13"/>
      <c r="S50" s="147"/>
      <c r="T50" s="13"/>
      <c r="U50" s="13">
        <f t="shared" si="16"/>
        <v>32418.093000000001</v>
      </c>
    </row>
    <row r="51" spans="1:21">
      <c r="A51" s="204">
        <v>40053990</v>
      </c>
      <c r="B51" s="10">
        <v>33</v>
      </c>
      <c r="C51" s="11" t="s">
        <v>27</v>
      </c>
      <c r="D51" s="10">
        <v>125</v>
      </c>
      <c r="E51" s="12" t="s">
        <v>131</v>
      </c>
      <c r="F51" s="12" t="s">
        <v>1020</v>
      </c>
      <c r="G51" s="12" t="s">
        <v>97</v>
      </c>
      <c r="H51" s="208">
        <v>185307</v>
      </c>
      <c r="I51" s="13"/>
      <c r="J51" s="140"/>
      <c r="K51" s="13"/>
      <c r="L51" s="13"/>
      <c r="M51" s="13"/>
      <c r="N51" s="13"/>
      <c r="O51" s="13">
        <v>30341.154999999999</v>
      </c>
      <c r="P51" s="140"/>
      <c r="Q51" s="13"/>
      <c r="R51" s="13"/>
      <c r="S51" s="147"/>
      <c r="T51" s="13"/>
      <c r="U51" s="13">
        <f t="shared" si="16"/>
        <v>30341.154999999999</v>
      </c>
    </row>
    <row r="52" spans="1:21">
      <c r="A52" s="204">
        <v>40055970</v>
      </c>
      <c r="B52" s="10">
        <v>33</v>
      </c>
      <c r="C52" s="11" t="s">
        <v>27</v>
      </c>
      <c r="D52" s="10">
        <v>125</v>
      </c>
      <c r="E52" s="12" t="s">
        <v>966</v>
      </c>
      <c r="F52" s="12" t="s">
        <v>1021</v>
      </c>
      <c r="G52" s="12" t="s">
        <v>98</v>
      </c>
      <c r="H52" s="208">
        <v>184083</v>
      </c>
      <c r="I52" s="13"/>
      <c r="J52" s="140"/>
      <c r="K52" s="13"/>
      <c r="L52" s="13"/>
      <c r="M52" s="13"/>
      <c r="N52" s="13"/>
      <c r="O52" s="13">
        <v>32642.008000000002</v>
      </c>
      <c r="P52" s="140"/>
      <c r="Q52" s="13"/>
      <c r="R52" s="13"/>
      <c r="S52" s="147"/>
      <c r="T52" s="13"/>
      <c r="U52" s="13">
        <f t="shared" si="16"/>
        <v>32642.008000000002</v>
      </c>
    </row>
    <row r="53" spans="1:21" ht="25.5">
      <c r="A53" s="204">
        <v>40062035</v>
      </c>
      <c r="B53" s="10">
        <v>33</v>
      </c>
      <c r="C53" s="11" t="s">
        <v>27</v>
      </c>
      <c r="D53" s="10">
        <v>125</v>
      </c>
      <c r="E53" s="12" t="s">
        <v>966</v>
      </c>
      <c r="F53" s="12" t="s">
        <v>1022</v>
      </c>
      <c r="G53" s="12" t="s">
        <v>92</v>
      </c>
      <c r="H53" s="208">
        <v>95000</v>
      </c>
      <c r="I53" s="13"/>
      <c r="J53" s="140"/>
      <c r="K53" s="13"/>
      <c r="L53" s="13"/>
      <c r="M53" s="13"/>
      <c r="N53" s="13"/>
      <c r="O53" s="13">
        <v>18068.781999999999</v>
      </c>
      <c r="P53" s="140"/>
      <c r="Q53" s="13"/>
      <c r="R53" s="13"/>
      <c r="S53" s="147"/>
      <c r="T53" s="13"/>
      <c r="U53" s="13">
        <f t="shared" si="16"/>
        <v>18068.781999999999</v>
      </c>
    </row>
    <row r="54" spans="1:21" ht="25.5">
      <c r="A54" s="204">
        <v>40058649</v>
      </c>
      <c r="B54" s="10">
        <v>33</v>
      </c>
      <c r="C54" s="11" t="s">
        <v>27</v>
      </c>
      <c r="D54" s="10">
        <v>125</v>
      </c>
      <c r="E54" s="12" t="s">
        <v>966</v>
      </c>
      <c r="F54" s="12" t="s">
        <v>1023</v>
      </c>
      <c r="G54" s="12" t="s">
        <v>91</v>
      </c>
      <c r="H54" s="208">
        <v>185307</v>
      </c>
      <c r="I54" s="13"/>
      <c r="J54" s="140"/>
      <c r="K54" s="13"/>
      <c r="L54" s="13"/>
      <c r="M54" s="13"/>
      <c r="N54" s="13"/>
      <c r="O54" s="13">
        <v>41825.93</v>
      </c>
      <c r="P54" s="140"/>
      <c r="Q54" s="13"/>
      <c r="R54" s="13"/>
      <c r="S54" s="147"/>
      <c r="T54" s="13"/>
      <c r="U54" s="13">
        <f t="shared" si="16"/>
        <v>41825.93</v>
      </c>
    </row>
    <row r="55" spans="1:21" ht="25.5">
      <c r="A55" s="204">
        <v>40058422</v>
      </c>
      <c r="B55" s="10">
        <v>33</v>
      </c>
      <c r="C55" s="11" t="s">
        <v>27</v>
      </c>
      <c r="D55" s="10">
        <v>125</v>
      </c>
      <c r="E55" s="12" t="s">
        <v>966</v>
      </c>
      <c r="F55" s="12" t="s">
        <v>1024</v>
      </c>
      <c r="G55" s="12" t="s">
        <v>98</v>
      </c>
      <c r="H55" s="208">
        <v>85416</v>
      </c>
      <c r="I55" s="13"/>
      <c r="J55" s="140"/>
      <c r="K55" s="13"/>
      <c r="L55" s="13"/>
      <c r="M55" s="13"/>
      <c r="N55" s="13"/>
      <c r="O55" s="13">
        <v>18089.505000000001</v>
      </c>
      <c r="P55" s="140"/>
      <c r="Q55" s="13"/>
      <c r="R55" s="13"/>
      <c r="S55" s="147"/>
      <c r="T55" s="13"/>
      <c r="U55" s="13">
        <f t="shared" si="16"/>
        <v>18089.505000000001</v>
      </c>
    </row>
    <row r="56" spans="1:21" ht="25.5">
      <c r="A56" s="204">
        <v>40058424</v>
      </c>
      <c r="B56" s="10">
        <v>33</v>
      </c>
      <c r="C56" s="11" t="s">
        <v>27</v>
      </c>
      <c r="D56" s="10">
        <v>125</v>
      </c>
      <c r="E56" s="12" t="s">
        <v>966</v>
      </c>
      <c r="F56" s="12" t="s">
        <v>1025</v>
      </c>
      <c r="G56" s="12" t="s">
        <v>98</v>
      </c>
      <c r="H56" s="208">
        <v>99327</v>
      </c>
      <c r="I56" s="13"/>
      <c r="J56" s="140"/>
      <c r="K56" s="13"/>
      <c r="L56" s="13"/>
      <c r="M56" s="13"/>
      <c r="N56" s="13"/>
      <c r="O56" s="13">
        <v>7604.2870000000003</v>
      </c>
      <c r="P56" s="140"/>
      <c r="Q56" s="13"/>
      <c r="R56" s="13"/>
      <c r="S56" s="147"/>
      <c r="T56" s="13"/>
      <c r="U56" s="13">
        <f t="shared" si="16"/>
        <v>7604.2870000000003</v>
      </c>
    </row>
    <row r="57" spans="1:21">
      <c r="A57" s="204">
        <v>40063545</v>
      </c>
      <c r="B57" s="10">
        <v>33</v>
      </c>
      <c r="C57" s="11" t="s">
        <v>27</v>
      </c>
      <c r="D57" s="10">
        <v>125</v>
      </c>
      <c r="E57" s="12" t="s">
        <v>966</v>
      </c>
      <c r="F57" s="12" t="s">
        <v>1039</v>
      </c>
      <c r="G57" s="12" t="s">
        <v>91</v>
      </c>
      <c r="H57" s="208">
        <v>99427</v>
      </c>
      <c r="I57" s="13"/>
      <c r="J57" s="140"/>
      <c r="K57" s="13"/>
      <c r="L57" s="13"/>
      <c r="M57" s="13"/>
      <c r="N57" s="13"/>
      <c r="O57" s="13">
        <v>18745.376</v>
      </c>
      <c r="P57" s="140"/>
      <c r="Q57" s="13"/>
      <c r="R57" s="13"/>
      <c r="S57" s="147"/>
      <c r="T57" s="13"/>
      <c r="U57" s="13">
        <f t="shared" si="16"/>
        <v>18745.376</v>
      </c>
    </row>
    <row r="58" spans="1:21">
      <c r="A58" s="204">
        <v>40063849</v>
      </c>
      <c r="B58" s="10">
        <v>33</v>
      </c>
      <c r="C58" s="11" t="s">
        <v>27</v>
      </c>
      <c r="D58" s="10">
        <v>125</v>
      </c>
      <c r="E58" s="12" t="s">
        <v>966</v>
      </c>
      <c r="F58" s="12" t="s">
        <v>1026</v>
      </c>
      <c r="G58" s="12" t="s">
        <v>98</v>
      </c>
      <c r="H58" s="208">
        <v>171128</v>
      </c>
      <c r="I58" s="13"/>
      <c r="J58" s="140"/>
      <c r="K58" s="13"/>
      <c r="L58" s="13"/>
      <c r="M58" s="13"/>
      <c r="N58" s="13"/>
      <c r="O58" s="13">
        <v>13327.397000000001</v>
      </c>
      <c r="P58" s="140"/>
      <c r="Q58" s="13"/>
      <c r="R58" s="13"/>
      <c r="S58" s="147"/>
      <c r="T58" s="13"/>
      <c r="U58" s="13">
        <f t="shared" si="16"/>
        <v>13327.397000000001</v>
      </c>
    </row>
    <row r="59" spans="1:21" ht="25.5">
      <c r="A59" s="204">
        <v>40064406</v>
      </c>
      <c r="B59" s="10">
        <v>33</v>
      </c>
      <c r="C59" s="11" t="s">
        <v>27</v>
      </c>
      <c r="D59" s="10">
        <v>125</v>
      </c>
      <c r="E59" s="12" t="s">
        <v>966</v>
      </c>
      <c r="F59" s="12" t="s">
        <v>1027</v>
      </c>
      <c r="G59" s="12" t="s">
        <v>85</v>
      </c>
      <c r="H59" s="208">
        <v>89911</v>
      </c>
      <c r="I59" s="13"/>
      <c r="J59" s="140"/>
      <c r="K59" s="13"/>
      <c r="L59" s="13"/>
      <c r="M59" s="13"/>
      <c r="N59" s="13"/>
      <c r="O59" s="13">
        <v>30473.107</v>
      </c>
      <c r="P59" s="140"/>
      <c r="Q59" s="13"/>
      <c r="R59" s="13"/>
      <c r="S59" s="147"/>
      <c r="T59" s="13"/>
      <c r="U59" s="13">
        <f t="shared" si="16"/>
        <v>30473.107</v>
      </c>
    </row>
    <row r="60" spans="1:21" ht="25.5">
      <c r="A60" s="204">
        <v>40064215</v>
      </c>
      <c r="B60" s="10">
        <v>33</v>
      </c>
      <c r="C60" s="11" t="s">
        <v>27</v>
      </c>
      <c r="D60" s="10">
        <v>125</v>
      </c>
      <c r="E60" s="12" t="s">
        <v>131</v>
      </c>
      <c r="F60" s="12" t="s">
        <v>829</v>
      </c>
      <c r="G60" s="12" t="s">
        <v>85</v>
      </c>
      <c r="H60" s="208">
        <v>163828</v>
      </c>
      <c r="I60" s="13"/>
      <c r="J60" s="140"/>
      <c r="K60" s="13"/>
      <c r="L60" s="13"/>
      <c r="M60" s="13"/>
      <c r="N60" s="13">
        <v>45461.029000000002</v>
      </c>
      <c r="O60" s="13">
        <v>43135.072</v>
      </c>
      <c r="P60" s="140"/>
      <c r="Q60" s="13"/>
      <c r="R60" s="13"/>
      <c r="S60" s="147"/>
      <c r="T60" s="13"/>
      <c r="U60" s="13">
        <f t="shared" si="16"/>
        <v>88596.100999999995</v>
      </c>
    </row>
    <row r="61" spans="1:21">
      <c r="P61" s="14"/>
      <c r="U61" s="8"/>
    </row>
    <row r="62" spans="1:21">
      <c r="P62" s="14"/>
      <c r="U62" s="8"/>
    </row>
    <row r="63" spans="1:21" ht="38.25">
      <c r="F63" s="14"/>
      <c r="G63" s="9" t="s">
        <v>78</v>
      </c>
      <c r="H63" s="9" t="s">
        <v>127</v>
      </c>
      <c r="I63" s="7">
        <f>I$2</f>
        <v>45658</v>
      </c>
      <c r="J63" s="7">
        <f t="shared" ref="J63:T63" si="17">J$2</f>
        <v>45689</v>
      </c>
      <c r="K63" s="7">
        <f t="shared" si="17"/>
        <v>45717</v>
      </c>
      <c r="L63" s="7">
        <f t="shared" si="17"/>
        <v>45748</v>
      </c>
      <c r="M63" s="7">
        <f t="shared" si="17"/>
        <v>45778</v>
      </c>
      <c r="N63" s="7">
        <f t="shared" si="17"/>
        <v>45809</v>
      </c>
      <c r="O63" s="7">
        <f t="shared" si="17"/>
        <v>45839</v>
      </c>
      <c r="P63" s="7">
        <f t="shared" si="17"/>
        <v>45870</v>
      </c>
      <c r="Q63" s="7">
        <f t="shared" si="17"/>
        <v>45901</v>
      </c>
      <c r="R63" s="7">
        <f t="shared" si="17"/>
        <v>45931</v>
      </c>
      <c r="S63" s="7">
        <f t="shared" si="17"/>
        <v>45962</v>
      </c>
      <c r="T63" s="7">
        <f t="shared" si="17"/>
        <v>45992</v>
      </c>
      <c r="U63" s="7" t="str">
        <f>U$2</f>
        <v>GASTO 2025</v>
      </c>
    </row>
    <row r="64" spans="1:21">
      <c r="F64" s="14"/>
      <c r="G64" s="12" t="s">
        <v>81</v>
      </c>
      <c r="H64" s="13">
        <f t="shared" ref="H64:H69" si="18">SUMIFS($H$3:$H$37,$G$3:$G$37,G64)</f>
        <v>257211</v>
      </c>
      <c r="I64" s="13">
        <f t="shared" ref="I64:N69" si="19">SUMIFS(I$3:I$60,$G$3:$G$60,$G64)</f>
        <v>0</v>
      </c>
      <c r="J64" s="13">
        <f t="shared" si="19"/>
        <v>0</v>
      </c>
      <c r="K64" s="13">
        <f t="shared" si="19"/>
        <v>16423.352999999999</v>
      </c>
      <c r="L64" s="13">
        <f t="shared" si="19"/>
        <v>0</v>
      </c>
      <c r="M64" s="13">
        <f t="shared" si="19"/>
        <v>0</v>
      </c>
      <c r="N64" s="13">
        <f t="shared" si="19"/>
        <v>1712.68</v>
      </c>
      <c r="O64" s="13">
        <f t="shared" ref="O64:T64" si="20">SUMIFS(O$3:O$60,$G$3:$G$60,$G64)</f>
        <v>3051.482</v>
      </c>
      <c r="P64" s="13">
        <f t="shared" si="20"/>
        <v>0</v>
      </c>
      <c r="Q64" s="13">
        <f t="shared" si="20"/>
        <v>0</v>
      </c>
      <c r="R64" s="13">
        <f t="shared" si="20"/>
        <v>0</v>
      </c>
      <c r="S64" s="13">
        <f t="shared" si="20"/>
        <v>0</v>
      </c>
      <c r="T64" s="13">
        <f t="shared" si="20"/>
        <v>0</v>
      </c>
      <c r="U64" s="13">
        <f>SUM(I64:T64)</f>
        <v>21187.514999999999</v>
      </c>
    </row>
    <row r="65" spans="6:21">
      <c r="F65" s="14"/>
      <c r="G65" s="12" t="s">
        <v>83</v>
      </c>
      <c r="H65" s="13">
        <f t="shared" si="18"/>
        <v>222098</v>
      </c>
      <c r="I65" s="13">
        <f t="shared" si="19"/>
        <v>0</v>
      </c>
      <c r="J65" s="13">
        <f t="shared" si="19"/>
        <v>0</v>
      </c>
      <c r="K65" s="13">
        <f t="shared" si="19"/>
        <v>18078.952000000001</v>
      </c>
      <c r="L65" s="13">
        <f t="shared" si="19"/>
        <v>0</v>
      </c>
      <c r="M65" s="13">
        <f t="shared" si="19"/>
        <v>0</v>
      </c>
      <c r="N65" s="13">
        <f t="shared" si="19"/>
        <v>0</v>
      </c>
      <c r="O65" s="13">
        <f t="shared" ref="O65:T69" si="21">SUMIFS(O$3:O$60,$G$3:$G$60,$G65)</f>
        <v>0</v>
      </c>
      <c r="P65" s="13">
        <f t="shared" si="21"/>
        <v>0</v>
      </c>
      <c r="Q65" s="13">
        <f t="shared" si="21"/>
        <v>0</v>
      </c>
      <c r="R65" s="13">
        <f t="shared" si="21"/>
        <v>0</v>
      </c>
      <c r="S65" s="13">
        <f t="shared" si="21"/>
        <v>0</v>
      </c>
      <c r="T65" s="13">
        <f t="shared" si="21"/>
        <v>0</v>
      </c>
      <c r="U65" s="13">
        <f t="shared" ref="U65:U69" si="22">SUM(I65:T65)</f>
        <v>18078.952000000001</v>
      </c>
    </row>
    <row r="66" spans="6:21">
      <c r="F66" s="14"/>
      <c r="G66" s="12" t="s">
        <v>84</v>
      </c>
      <c r="H66" s="13">
        <f t="shared" si="18"/>
        <v>65000</v>
      </c>
      <c r="I66" s="13">
        <f t="shared" si="19"/>
        <v>0</v>
      </c>
      <c r="J66" s="13">
        <f t="shared" si="19"/>
        <v>0</v>
      </c>
      <c r="K66" s="13">
        <f t="shared" si="19"/>
        <v>0</v>
      </c>
      <c r="L66" s="13">
        <f t="shared" si="19"/>
        <v>0</v>
      </c>
      <c r="M66" s="13">
        <f t="shared" si="19"/>
        <v>0</v>
      </c>
      <c r="N66" s="13">
        <f t="shared" si="19"/>
        <v>0</v>
      </c>
      <c r="O66" s="13">
        <f t="shared" si="21"/>
        <v>0</v>
      </c>
      <c r="P66" s="13">
        <f t="shared" si="21"/>
        <v>0</v>
      </c>
      <c r="Q66" s="13">
        <f t="shared" si="21"/>
        <v>0</v>
      </c>
      <c r="R66" s="13">
        <f t="shared" si="21"/>
        <v>0</v>
      </c>
      <c r="S66" s="13">
        <f t="shared" si="21"/>
        <v>0</v>
      </c>
      <c r="T66" s="13">
        <f t="shared" si="21"/>
        <v>0</v>
      </c>
      <c r="U66" s="13">
        <f t="shared" si="22"/>
        <v>0</v>
      </c>
    </row>
    <row r="67" spans="6:21">
      <c r="F67" s="14"/>
      <c r="G67" s="12" t="s">
        <v>82</v>
      </c>
      <c r="H67" s="13">
        <f t="shared" si="18"/>
        <v>208064</v>
      </c>
      <c r="I67" s="13">
        <f t="shared" si="19"/>
        <v>0</v>
      </c>
      <c r="J67" s="13">
        <f t="shared" si="19"/>
        <v>0</v>
      </c>
      <c r="K67" s="13">
        <f t="shared" si="19"/>
        <v>0</v>
      </c>
      <c r="L67" s="13">
        <f t="shared" si="19"/>
        <v>0</v>
      </c>
      <c r="M67" s="13">
        <f t="shared" si="19"/>
        <v>0</v>
      </c>
      <c r="N67" s="13">
        <f t="shared" si="19"/>
        <v>0</v>
      </c>
      <c r="O67" s="13">
        <f t="shared" si="21"/>
        <v>0</v>
      </c>
      <c r="P67" s="13">
        <f t="shared" si="21"/>
        <v>0</v>
      </c>
      <c r="Q67" s="13">
        <f t="shared" si="21"/>
        <v>0</v>
      </c>
      <c r="R67" s="13">
        <f t="shared" si="21"/>
        <v>0</v>
      </c>
      <c r="S67" s="13">
        <f t="shared" si="21"/>
        <v>0</v>
      </c>
      <c r="T67" s="13">
        <f t="shared" si="21"/>
        <v>0</v>
      </c>
      <c r="U67" s="13">
        <f t="shared" si="22"/>
        <v>0</v>
      </c>
    </row>
    <row r="68" spans="6:21">
      <c r="F68" s="14"/>
      <c r="G68" s="12" t="s">
        <v>85</v>
      </c>
      <c r="H68" s="13">
        <f t="shared" si="18"/>
        <v>505712.174</v>
      </c>
      <c r="I68" s="13">
        <f t="shared" si="19"/>
        <v>0</v>
      </c>
      <c r="J68" s="13">
        <f t="shared" si="19"/>
        <v>13747.683999999999</v>
      </c>
      <c r="K68" s="13">
        <f t="shared" si="19"/>
        <v>31087.361000000001</v>
      </c>
      <c r="L68" s="13">
        <f t="shared" si="19"/>
        <v>0</v>
      </c>
      <c r="M68" s="13">
        <f t="shared" si="19"/>
        <v>0</v>
      </c>
      <c r="N68" s="13">
        <f t="shared" si="19"/>
        <v>123133.63500000001</v>
      </c>
      <c r="O68" s="13">
        <f t="shared" si="21"/>
        <v>73608.179000000004</v>
      </c>
      <c r="P68" s="13">
        <f t="shared" si="21"/>
        <v>0</v>
      </c>
      <c r="Q68" s="13">
        <f t="shared" si="21"/>
        <v>0</v>
      </c>
      <c r="R68" s="13">
        <f t="shared" si="21"/>
        <v>0</v>
      </c>
      <c r="S68" s="13">
        <f t="shared" si="21"/>
        <v>0</v>
      </c>
      <c r="T68" s="13">
        <f t="shared" si="21"/>
        <v>0</v>
      </c>
      <c r="U68" s="13">
        <f t="shared" si="22"/>
        <v>241576.859</v>
      </c>
    </row>
    <row r="69" spans="6:21">
      <c r="F69" s="14"/>
      <c r="G69" s="12" t="s">
        <v>86</v>
      </c>
      <c r="H69" s="13">
        <f t="shared" si="18"/>
        <v>376468</v>
      </c>
      <c r="I69" s="13">
        <f t="shared" si="19"/>
        <v>0</v>
      </c>
      <c r="J69" s="13">
        <f t="shared" si="19"/>
        <v>0</v>
      </c>
      <c r="K69" s="13">
        <f t="shared" si="19"/>
        <v>0</v>
      </c>
      <c r="L69" s="13">
        <f t="shared" si="19"/>
        <v>0</v>
      </c>
      <c r="M69" s="13">
        <f t="shared" si="19"/>
        <v>0</v>
      </c>
      <c r="N69" s="13">
        <f t="shared" si="19"/>
        <v>0</v>
      </c>
      <c r="O69" s="13">
        <f t="shared" si="21"/>
        <v>0</v>
      </c>
      <c r="P69" s="13">
        <f t="shared" si="21"/>
        <v>0</v>
      </c>
      <c r="Q69" s="13">
        <f t="shared" si="21"/>
        <v>0</v>
      </c>
      <c r="R69" s="13">
        <f t="shared" si="21"/>
        <v>0</v>
      </c>
      <c r="S69" s="13">
        <f t="shared" si="21"/>
        <v>0</v>
      </c>
      <c r="T69" s="13">
        <f t="shared" si="21"/>
        <v>0</v>
      </c>
      <c r="U69" s="13">
        <f t="shared" si="22"/>
        <v>0</v>
      </c>
    </row>
    <row r="70" spans="6:21">
      <c r="F70" s="14"/>
      <c r="G70" s="15" t="s">
        <v>106</v>
      </c>
      <c r="H70" s="16">
        <f>SUBTOTAL(9,H64:H69)</f>
        <v>1634553.1740000001</v>
      </c>
      <c r="I70" s="16">
        <f t="shared" ref="I70:N70" si="23">SUBTOTAL(9,I64:I69)</f>
        <v>0</v>
      </c>
      <c r="J70" s="16">
        <f>SUBTOTAL(9,J64:J69)</f>
        <v>13747.683999999999</v>
      </c>
      <c r="K70" s="16">
        <f>SUBTOTAL(9,K64:K69)</f>
        <v>65589.665999999997</v>
      </c>
      <c r="L70" s="16">
        <f>SUBTOTAL(9,L64:L69)</f>
        <v>0</v>
      </c>
      <c r="M70" s="16">
        <f t="shared" si="23"/>
        <v>0</v>
      </c>
      <c r="N70" s="16">
        <f t="shared" si="23"/>
        <v>124846.315</v>
      </c>
      <c r="O70" s="16">
        <f t="shared" ref="O70:T70" si="24">SUBTOTAL(9,O64:O69)</f>
        <v>76659.661000000007</v>
      </c>
      <c r="P70" s="16">
        <f t="shared" si="24"/>
        <v>0</v>
      </c>
      <c r="Q70" s="16">
        <f t="shared" si="24"/>
        <v>0</v>
      </c>
      <c r="R70" s="16">
        <f t="shared" si="24"/>
        <v>0</v>
      </c>
      <c r="S70" s="16">
        <f t="shared" si="24"/>
        <v>0</v>
      </c>
      <c r="T70" s="16">
        <f t="shared" si="24"/>
        <v>0</v>
      </c>
      <c r="U70" s="16">
        <f>SUBTOTAL(9,U64:U69)</f>
        <v>280843.326</v>
      </c>
    </row>
    <row r="71" spans="6:21">
      <c r="F71" s="14"/>
      <c r="G71" s="12" t="s">
        <v>89</v>
      </c>
      <c r="H71" s="13">
        <f>SUMIFS($H$3:$H$37,$G$3:$G$37,G71)</f>
        <v>346147</v>
      </c>
      <c r="I71" s="13">
        <f t="shared" ref="I71:T75" si="25">SUMIFS(I$3:I$60,$G$3:$G$60,$G71)</f>
        <v>0</v>
      </c>
      <c r="J71" s="13">
        <f t="shared" si="25"/>
        <v>44059.415999999997</v>
      </c>
      <c r="K71" s="13">
        <f t="shared" si="25"/>
        <v>0</v>
      </c>
      <c r="L71" s="13">
        <f t="shared" si="25"/>
        <v>37905.279999999999</v>
      </c>
      <c r="M71" s="13">
        <f t="shared" si="25"/>
        <v>0</v>
      </c>
      <c r="N71" s="13">
        <f t="shared" si="25"/>
        <v>35135.493999999999</v>
      </c>
      <c r="O71" s="13">
        <f t="shared" si="25"/>
        <v>0</v>
      </c>
      <c r="P71" s="13">
        <f t="shared" si="25"/>
        <v>0</v>
      </c>
      <c r="Q71" s="13">
        <f t="shared" si="25"/>
        <v>0</v>
      </c>
      <c r="R71" s="13">
        <f t="shared" si="25"/>
        <v>0</v>
      </c>
      <c r="S71" s="13">
        <f t="shared" si="25"/>
        <v>0</v>
      </c>
      <c r="T71" s="13">
        <f t="shared" si="25"/>
        <v>0</v>
      </c>
      <c r="U71" s="13">
        <f>SUM(I71:T71)</f>
        <v>117100.19</v>
      </c>
    </row>
    <row r="72" spans="6:21">
      <c r="F72" s="14"/>
      <c r="G72" s="12" t="s">
        <v>91</v>
      </c>
      <c r="H72" s="13">
        <f>SUMIFS($H$3:$H$37,$G$3:$G$37,G72)</f>
        <v>121360</v>
      </c>
      <c r="I72" s="13">
        <f t="shared" si="25"/>
        <v>0</v>
      </c>
      <c r="J72" s="13">
        <f t="shared" si="25"/>
        <v>0</v>
      </c>
      <c r="K72" s="13">
        <f t="shared" si="25"/>
        <v>0</v>
      </c>
      <c r="L72" s="13">
        <f t="shared" si="25"/>
        <v>0</v>
      </c>
      <c r="M72" s="13">
        <f t="shared" si="25"/>
        <v>0</v>
      </c>
      <c r="N72" s="13">
        <f t="shared" si="25"/>
        <v>0</v>
      </c>
      <c r="O72" s="13">
        <f t="shared" si="25"/>
        <v>60571.305999999997</v>
      </c>
      <c r="P72" s="13">
        <f t="shared" si="25"/>
        <v>0</v>
      </c>
      <c r="Q72" s="13">
        <f t="shared" si="25"/>
        <v>0</v>
      </c>
      <c r="R72" s="13">
        <f t="shared" si="25"/>
        <v>0</v>
      </c>
      <c r="S72" s="13">
        <f t="shared" si="25"/>
        <v>0</v>
      </c>
      <c r="T72" s="13">
        <f t="shared" si="25"/>
        <v>0</v>
      </c>
      <c r="U72" s="13">
        <f>SUM(I72:T72)</f>
        <v>60571.305999999997</v>
      </c>
    </row>
    <row r="73" spans="6:21">
      <c r="F73" s="14"/>
      <c r="G73" s="12" t="s">
        <v>90</v>
      </c>
      <c r="H73" s="13">
        <f>SUMIFS($H$3:$H$37,$G$3:$G$37,G73)</f>
        <v>368249.00800000003</v>
      </c>
      <c r="I73" s="13">
        <f t="shared" si="25"/>
        <v>0</v>
      </c>
      <c r="J73" s="13">
        <f t="shared" si="25"/>
        <v>0</v>
      </c>
      <c r="K73" s="13">
        <f t="shared" si="25"/>
        <v>1499.4</v>
      </c>
      <c r="L73" s="13">
        <f t="shared" si="25"/>
        <v>0</v>
      </c>
      <c r="M73" s="13">
        <f t="shared" si="25"/>
        <v>0</v>
      </c>
      <c r="N73" s="13">
        <f t="shared" si="25"/>
        <v>0</v>
      </c>
      <c r="O73" s="13">
        <f t="shared" si="25"/>
        <v>0</v>
      </c>
      <c r="P73" s="13">
        <f t="shared" si="25"/>
        <v>0</v>
      </c>
      <c r="Q73" s="13">
        <f t="shared" si="25"/>
        <v>0</v>
      </c>
      <c r="R73" s="13">
        <f t="shared" si="25"/>
        <v>0</v>
      </c>
      <c r="S73" s="13">
        <f t="shared" si="25"/>
        <v>0</v>
      </c>
      <c r="T73" s="13">
        <f t="shared" si="25"/>
        <v>0</v>
      </c>
      <c r="U73" s="13">
        <f>SUM(I73:T73)</f>
        <v>1499.4</v>
      </c>
    </row>
    <row r="74" spans="6:21">
      <c r="F74" s="14"/>
      <c r="G74" s="12" t="s">
        <v>92</v>
      </c>
      <c r="H74" s="13">
        <f>SUMIFS($H$3:$H$37,$G$3:$G$37,G74)</f>
        <v>273275</v>
      </c>
      <c r="I74" s="13">
        <f t="shared" si="25"/>
        <v>0</v>
      </c>
      <c r="J74" s="13">
        <f t="shared" si="25"/>
        <v>0</v>
      </c>
      <c r="K74" s="13">
        <f t="shared" si="25"/>
        <v>0</v>
      </c>
      <c r="L74" s="13">
        <f t="shared" si="25"/>
        <v>0</v>
      </c>
      <c r="M74" s="13">
        <f t="shared" si="25"/>
        <v>0</v>
      </c>
      <c r="N74" s="13">
        <f t="shared" si="25"/>
        <v>0</v>
      </c>
      <c r="O74" s="13">
        <f t="shared" si="25"/>
        <v>18068.781999999999</v>
      </c>
      <c r="P74" s="13">
        <f t="shared" si="25"/>
        <v>0</v>
      </c>
      <c r="Q74" s="13">
        <f t="shared" si="25"/>
        <v>0</v>
      </c>
      <c r="R74" s="13">
        <f t="shared" si="25"/>
        <v>0</v>
      </c>
      <c r="S74" s="13">
        <f t="shared" si="25"/>
        <v>0</v>
      </c>
      <c r="T74" s="13">
        <f t="shared" si="25"/>
        <v>0</v>
      </c>
      <c r="U74" s="13">
        <f t="shared" ref="U74" si="26">SUM(I74:T74)</f>
        <v>18068.781999999999</v>
      </c>
    </row>
    <row r="75" spans="6:21">
      <c r="F75" s="14"/>
      <c r="G75" s="12" t="s">
        <v>93</v>
      </c>
      <c r="H75" s="13">
        <f>SUMIFS($H$3:$H$37,$G$3:$G$37,G75)</f>
        <v>300163.67300000001</v>
      </c>
      <c r="I75" s="13">
        <f t="shared" si="25"/>
        <v>0</v>
      </c>
      <c r="J75" s="13">
        <f t="shared" si="25"/>
        <v>0</v>
      </c>
      <c r="K75" s="13">
        <f t="shared" si="25"/>
        <v>51245.008999999998</v>
      </c>
      <c r="L75" s="13">
        <f t="shared" si="25"/>
        <v>183540.242</v>
      </c>
      <c r="M75" s="13">
        <f t="shared" si="25"/>
        <v>157898.44700000001</v>
      </c>
      <c r="N75" s="13">
        <f t="shared" si="25"/>
        <v>10579.486000000001</v>
      </c>
      <c r="O75" s="13">
        <f t="shared" si="25"/>
        <v>28139.18</v>
      </c>
      <c r="P75" s="13">
        <f t="shared" si="25"/>
        <v>0</v>
      </c>
      <c r="Q75" s="13">
        <f t="shared" si="25"/>
        <v>0</v>
      </c>
      <c r="R75" s="13">
        <f t="shared" si="25"/>
        <v>0</v>
      </c>
      <c r="S75" s="13">
        <f t="shared" si="25"/>
        <v>0</v>
      </c>
      <c r="T75" s="13">
        <f t="shared" si="25"/>
        <v>0</v>
      </c>
      <c r="U75" s="13">
        <f>SUM(I75:T75)</f>
        <v>431402.36399999994</v>
      </c>
    </row>
    <row r="76" spans="6:21">
      <c r="F76" s="14"/>
      <c r="G76" s="15" t="s">
        <v>107</v>
      </c>
      <c r="H76" s="16">
        <f>SUBTOTAL(9,H71:H75)</f>
        <v>1409194.6809999999</v>
      </c>
      <c r="I76" s="16">
        <f t="shared" ref="I76:N76" si="27">SUBTOTAL(9,I71:I75)</f>
        <v>0</v>
      </c>
      <c r="J76" s="16">
        <f t="shared" si="27"/>
        <v>44059.415999999997</v>
      </c>
      <c r="K76" s="16">
        <f>SUBTOTAL(9,K71:K75)</f>
        <v>52744.409</v>
      </c>
      <c r="L76" s="16">
        <f t="shared" si="27"/>
        <v>221445.522</v>
      </c>
      <c r="M76" s="16">
        <f t="shared" si="27"/>
        <v>157898.44700000001</v>
      </c>
      <c r="N76" s="16">
        <f t="shared" si="27"/>
        <v>45714.979999999996</v>
      </c>
      <c r="O76" s="16">
        <f t="shared" ref="O76:T76" si="28">SUBTOTAL(9,O71:O75)</f>
        <v>106779.26799999998</v>
      </c>
      <c r="P76" s="16">
        <f t="shared" si="28"/>
        <v>0</v>
      </c>
      <c r="Q76" s="16">
        <f t="shared" si="28"/>
        <v>0</v>
      </c>
      <c r="R76" s="16">
        <f t="shared" si="28"/>
        <v>0</v>
      </c>
      <c r="S76" s="16">
        <f t="shared" si="28"/>
        <v>0</v>
      </c>
      <c r="T76" s="16">
        <f t="shared" si="28"/>
        <v>0</v>
      </c>
      <c r="U76" s="16">
        <f>SUBTOTAL(9,U71:U75)</f>
        <v>628642.0419999999</v>
      </c>
    </row>
    <row r="77" spans="6:21">
      <c r="F77" s="14"/>
      <c r="G77" s="12" t="s">
        <v>96</v>
      </c>
      <c r="H77" s="13">
        <f>SUMIFS($H$3:$H$37,$G$3:$G$37,G77)</f>
        <v>78618</v>
      </c>
      <c r="I77" s="13">
        <f>SUMIFS(I$3:I$60,$G$3:$G$60,$G77)</f>
        <v>0</v>
      </c>
      <c r="J77" s="13">
        <f t="shared" ref="J77:T77" si="29">SUMIFS(J$3:J$60,$G$3:$G$60,$G77)</f>
        <v>0</v>
      </c>
      <c r="K77" s="13">
        <f t="shared" si="29"/>
        <v>0</v>
      </c>
      <c r="L77" s="13">
        <f t="shared" si="29"/>
        <v>16664.401999999998</v>
      </c>
      <c r="M77" s="13">
        <f t="shared" si="29"/>
        <v>135490.31200000001</v>
      </c>
      <c r="N77" s="13">
        <f t="shared" si="29"/>
        <v>163517.08799999999</v>
      </c>
      <c r="O77" s="13">
        <f t="shared" si="29"/>
        <v>83815.25</v>
      </c>
      <c r="P77" s="13">
        <f t="shared" si="29"/>
        <v>0</v>
      </c>
      <c r="Q77" s="13">
        <f t="shared" si="29"/>
        <v>0</v>
      </c>
      <c r="R77" s="13">
        <f t="shared" si="29"/>
        <v>0</v>
      </c>
      <c r="S77" s="13">
        <f t="shared" si="29"/>
        <v>0</v>
      </c>
      <c r="T77" s="13">
        <f t="shared" si="29"/>
        <v>0</v>
      </c>
      <c r="U77" s="13">
        <f>SUM(I77:T77)</f>
        <v>399487.05200000003</v>
      </c>
    </row>
    <row r="78" spans="6:21">
      <c r="F78" s="14"/>
      <c r="G78" s="12" t="s">
        <v>98</v>
      </c>
      <c r="H78" s="13">
        <f>SUMIFS($H$3:$H$37,$G$3:$G$37,G78)</f>
        <v>90823</v>
      </c>
      <c r="I78" s="13">
        <f>SUMIFS(I$3:I$60,$G$3:$G$60,$G78)</f>
        <v>0</v>
      </c>
      <c r="J78" s="13">
        <f t="shared" ref="J78:T80" si="30">SUMIFS(J$3:J$60,$G$3:$G$60,$G78)</f>
        <v>0</v>
      </c>
      <c r="K78" s="13">
        <f t="shared" si="30"/>
        <v>0</v>
      </c>
      <c r="L78" s="13">
        <f t="shared" si="30"/>
        <v>0</v>
      </c>
      <c r="M78" s="13">
        <f t="shared" si="30"/>
        <v>0</v>
      </c>
      <c r="N78" s="13">
        <f t="shared" si="30"/>
        <v>0</v>
      </c>
      <c r="O78" s="13">
        <f t="shared" si="30"/>
        <v>71663.197</v>
      </c>
      <c r="P78" s="13">
        <f t="shared" si="30"/>
        <v>0</v>
      </c>
      <c r="Q78" s="13">
        <f t="shared" si="30"/>
        <v>0</v>
      </c>
      <c r="R78" s="13">
        <f t="shared" si="30"/>
        <v>0</v>
      </c>
      <c r="S78" s="13">
        <f t="shared" si="30"/>
        <v>0</v>
      </c>
      <c r="T78" s="13">
        <f t="shared" si="30"/>
        <v>0</v>
      </c>
      <c r="U78" s="13">
        <f>SUM(I78:T78)</f>
        <v>71663.197</v>
      </c>
    </row>
    <row r="79" spans="6:21">
      <c r="F79" s="14"/>
      <c r="G79" s="12" t="s">
        <v>97</v>
      </c>
      <c r="H79" s="13">
        <f>SUMIFS($H$3:$H$37,$G$3:$G$37,G79)</f>
        <v>119471.929</v>
      </c>
      <c r="I79" s="13">
        <f>SUMIFS(I$3:I$60,$G$3:$G$60,$G79)</f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13">
        <f t="shared" si="30"/>
        <v>0</v>
      </c>
      <c r="N79" s="13">
        <f t="shared" si="30"/>
        <v>0</v>
      </c>
      <c r="O79" s="13">
        <f t="shared" si="30"/>
        <v>30341.154999999999</v>
      </c>
      <c r="P79" s="13">
        <f t="shared" si="30"/>
        <v>0</v>
      </c>
      <c r="Q79" s="13">
        <f t="shared" si="30"/>
        <v>0</v>
      </c>
      <c r="R79" s="13">
        <f t="shared" si="30"/>
        <v>0</v>
      </c>
      <c r="S79" s="13">
        <f t="shared" si="30"/>
        <v>0</v>
      </c>
      <c r="T79" s="13">
        <f t="shared" si="30"/>
        <v>0</v>
      </c>
      <c r="U79" s="13">
        <f>SUM(I79:T79)</f>
        <v>30341.154999999999</v>
      </c>
    </row>
    <row r="80" spans="6:21">
      <c r="F80" s="14"/>
      <c r="G80" s="12" t="s">
        <v>99</v>
      </c>
      <c r="H80" s="13">
        <f>SUMIFS($H$3:$H$37,$G$3:$G$37,G80)</f>
        <v>320785.21100000001</v>
      </c>
      <c r="I80" s="13">
        <f>SUMIFS(I$3:I$60,$G$3:$G$60,$G80)</f>
        <v>0</v>
      </c>
      <c r="J80" s="13">
        <f t="shared" si="30"/>
        <v>10854.383</v>
      </c>
      <c r="K80" s="13">
        <f t="shared" si="30"/>
        <v>17209.388999999999</v>
      </c>
      <c r="L80" s="13">
        <f t="shared" si="30"/>
        <v>18694.834999999999</v>
      </c>
      <c r="M80" s="13">
        <f t="shared" si="30"/>
        <v>14537.77</v>
      </c>
      <c r="N80" s="13">
        <f t="shared" si="30"/>
        <v>27758.100999999999</v>
      </c>
      <c r="O80" s="13">
        <f t="shared" si="30"/>
        <v>18757.481</v>
      </c>
      <c r="P80" s="13">
        <f t="shared" si="30"/>
        <v>0</v>
      </c>
      <c r="Q80" s="13">
        <f t="shared" si="30"/>
        <v>0</v>
      </c>
      <c r="R80" s="13">
        <f t="shared" si="30"/>
        <v>0</v>
      </c>
      <c r="S80" s="13">
        <f t="shared" si="30"/>
        <v>0</v>
      </c>
      <c r="T80" s="13">
        <f t="shared" si="30"/>
        <v>0</v>
      </c>
      <c r="U80" s="13">
        <f>SUM(I80:T80)</f>
        <v>107811.95899999999</v>
      </c>
    </row>
    <row r="81" spans="6:21">
      <c r="F81" s="14"/>
      <c r="G81" s="15" t="s">
        <v>108</v>
      </c>
      <c r="H81" s="16">
        <f>SUBTOTAL(9,H77:H80)</f>
        <v>609698.14</v>
      </c>
      <c r="I81" s="16">
        <f t="shared" ref="I81:N81" si="31">SUBTOTAL(9,I77:I80)</f>
        <v>0</v>
      </c>
      <c r="J81" s="16">
        <f t="shared" si="31"/>
        <v>10854.383</v>
      </c>
      <c r="K81" s="16">
        <f>SUBTOTAL(9,K77:K80)</f>
        <v>17209.388999999999</v>
      </c>
      <c r="L81" s="16">
        <f t="shared" si="31"/>
        <v>35359.236999999994</v>
      </c>
      <c r="M81" s="16">
        <f t="shared" si="31"/>
        <v>150028.08199999999</v>
      </c>
      <c r="N81" s="16">
        <f t="shared" si="31"/>
        <v>191275.18899999998</v>
      </c>
      <c r="O81" s="16">
        <f t="shared" ref="O81:T81" si="32">SUBTOTAL(9,O77:O80)</f>
        <v>204577.08299999998</v>
      </c>
      <c r="P81" s="16">
        <f t="shared" si="32"/>
        <v>0</v>
      </c>
      <c r="Q81" s="16">
        <f t="shared" si="32"/>
        <v>0</v>
      </c>
      <c r="R81" s="16">
        <f t="shared" si="32"/>
        <v>0</v>
      </c>
      <c r="S81" s="16">
        <f t="shared" si="32"/>
        <v>0</v>
      </c>
      <c r="T81" s="16">
        <f t="shared" si="32"/>
        <v>0</v>
      </c>
      <c r="U81" s="16">
        <f>SUBTOTAL(9,U77:U80)</f>
        <v>609303.36300000001</v>
      </c>
    </row>
    <row r="83" spans="6:21">
      <c r="F83" s="14"/>
      <c r="G83" s="15" t="s">
        <v>830</v>
      </c>
      <c r="H83" s="16">
        <f>H70+H76+H81</f>
        <v>3653445.9950000001</v>
      </c>
      <c r="I83" s="16">
        <f>I70+I76+I81</f>
        <v>0</v>
      </c>
      <c r="J83" s="16">
        <f>J70+J76+J81</f>
        <v>68661.482999999993</v>
      </c>
      <c r="K83" s="16">
        <f t="shared" ref="K83:T83" si="33">K70+K76+K81</f>
        <v>135543.46400000001</v>
      </c>
      <c r="L83" s="16">
        <f>L70+L76+L81</f>
        <v>256804.75899999999</v>
      </c>
      <c r="M83" s="16">
        <f>M70+M76+M81</f>
        <v>307926.52899999998</v>
      </c>
      <c r="N83" s="16">
        <f t="shared" si="33"/>
        <v>361836.48399999994</v>
      </c>
      <c r="O83" s="16">
        <f t="shared" si="33"/>
        <v>388016.01199999999</v>
      </c>
      <c r="P83" s="16">
        <f t="shared" si="33"/>
        <v>0</v>
      </c>
      <c r="Q83" s="16">
        <f t="shared" si="33"/>
        <v>0</v>
      </c>
      <c r="R83" s="16">
        <f t="shared" si="33"/>
        <v>0</v>
      </c>
      <c r="S83" s="16">
        <f t="shared" si="33"/>
        <v>0</v>
      </c>
      <c r="T83" s="16">
        <f t="shared" si="33"/>
        <v>0</v>
      </c>
      <c r="U83" s="16">
        <f>U70+U76+U81</f>
        <v>1518788.7309999999</v>
      </c>
    </row>
  </sheetData>
  <sheetProtection algorithmName="SHA-512" hashValue="YCsFapRtSS/sAstUmuyhWgZ6iPH1mXS3i9yJDgT0duijIUEDWuIPXdEeIanbdMPBcZgg3RWxInbEKUU6d6htFw==" saltValue="gHuCyADu9CzpuD56j4vtSA==" spinCount="100000" sheet="1" objects="1" scenarios="1"/>
  <autoFilter ref="A2:U60" xr:uid="{00000000-0001-0000-0200-000000000000}">
    <filterColumn colId="20">
      <filters>
        <filter val="1.499"/>
        <filter val="10.579"/>
        <filter val="101.472"/>
        <filter val="11.567"/>
        <filter val="117.162"/>
        <filter val="13.327"/>
        <filter val="13.748"/>
        <filter val="146.830"/>
        <filter val="18.069"/>
        <filter val="18.079"/>
        <filter val="18.090"/>
        <filter val="18.745"/>
        <filter val="193.998"/>
        <filter val="30.341"/>
        <filter val="30.473"/>
        <filter val="31.087"/>
        <filter val="32.418"/>
        <filter val="32.642"/>
        <filter val="33.404"/>
        <filter val="4.764"/>
        <filter val="4.856"/>
        <filter val="4.880"/>
        <filter val="41.826"/>
        <filter val="44.059"/>
        <filter val="7.604"/>
        <filter val="71.129"/>
        <filter val="71.439"/>
        <filter val="73.041"/>
        <filter val="75.394"/>
        <filter val="77.673"/>
        <filter val="79.995"/>
        <filter val="88.596"/>
      </filters>
    </filterColumn>
  </autoFilter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67"/>
    <col min="2" max="2" width="55.5703125" style="167" customWidth="1"/>
    <col min="3" max="16384" width="11.42578125" style="167"/>
  </cols>
  <sheetData>
    <row r="2" spans="1:3">
      <c r="C2" s="168">
        <f>SUM(C3:C135)</f>
        <v>27331350</v>
      </c>
    </row>
    <row r="3" spans="1:3">
      <c r="A3" s="163">
        <v>20169586</v>
      </c>
      <c r="B3" s="161" t="s">
        <v>177</v>
      </c>
      <c r="C3" s="169">
        <v>1399434</v>
      </c>
    </row>
    <row r="4" spans="1:3" ht="25.5">
      <c r="A4" s="163">
        <v>30073116</v>
      </c>
      <c r="B4" s="161" t="s">
        <v>831</v>
      </c>
      <c r="C4" s="169">
        <v>1</v>
      </c>
    </row>
    <row r="5" spans="1:3">
      <c r="A5" s="163">
        <v>30073178</v>
      </c>
      <c r="B5" s="161" t="s">
        <v>832</v>
      </c>
      <c r="C5" s="169">
        <v>461089</v>
      </c>
    </row>
    <row r="6" spans="1:3" ht="25.5">
      <c r="A6" s="163">
        <v>30106198</v>
      </c>
      <c r="B6" s="161" t="s">
        <v>833</v>
      </c>
      <c r="C6" s="169">
        <v>781507</v>
      </c>
    </row>
    <row r="7" spans="1:3">
      <c r="A7" s="163">
        <v>30078529</v>
      </c>
      <c r="B7" s="161" t="s">
        <v>834</v>
      </c>
      <c r="C7" s="169">
        <v>230398</v>
      </c>
    </row>
    <row r="8" spans="1:3">
      <c r="A8" s="154">
        <v>30081585</v>
      </c>
      <c r="B8" s="161" t="s">
        <v>251</v>
      </c>
      <c r="C8" s="169">
        <v>73695</v>
      </c>
    </row>
    <row r="9" spans="1:3" ht="25.5">
      <c r="A9" s="154">
        <v>30131807</v>
      </c>
      <c r="B9" s="161" t="s">
        <v>835</v>
      </c>
      <c r="C9" s="169">
        <v>0</v>
      </c>
    </row>
    <row r="10" spans="1:3">
      <c r="A10" s="154">
        <v>30130485</v>
      </c>
      <c r="B10" s="170" t="s">
        <v>836</v>
      </c>
      <c r="C10" s="169">
        <v>423159</v>
      </c>
    </row>
    <row r="11" spans="1:3">
      <c r="A11" s="155">
        <v>30086926</v>
      </c>
      <c r="B11" s="161" t="s">
        <v>837</v>
      </c>
      <c r="C11" s="169">
        <v>385755</v>
      </c>
    </row>
    <row r="12" spans="1:3" ht="25.5">
      <c r="A12" s="155">
        <v>30097621</v>
      </c>
      <c r="B12" s="161" t="s">
        <v>838</v>
      </c>
      <c r="C12" s="169">
        <v>15120</v>
      </c>
    </row>
    <row r="13" spans="1:3">
      <c r="A13" s="155">
        <v>30100126</v>
      </c>
      <c r="B13" s="161" t="s">
        <v>839</v>
      </c>
      <c r="C13" s="169">
        <v>86811</v>
      </c>
    </row>
    <row r="14" spans="1:3">
      <c r="A14" s="155">
        <v>30001032</v>
      </c>
      <c r="B14" s="161" t="s">
        <v>840</v>
      </c>
      <c r="C14" s="169">
        <v>109325</v>
      </c>
    </row>
    <row r="15" spans="1:3">
      <c r="A15" s="155">
        <v>30066098</v>
      </c>
      <c r="B15" s="161" t="s">
        <v>841</v>
      </c>
      <c r="C15" s="169">
        <v>144490</v>
      </c>
    </row>
    <row r="16" spans="1:3">
      <c r="A16" s="155">
        <v>30045318</v>
      </c>
      <c r="B16" s="161" t="s">
        <v>842</v>
      </c>
      <c r="C16" s="169">
        <v>132666</v>
      </c>
    </row>
    <row r="17" spans="1:3">
      <c r="A17" s="164">
        <v>30293822</v>
      </c>
      <c r="B17" s="171" t="s">
        <v>843</v>
      </c>
      <c r="C17" s="169">
        <v>7556</v>
      </c>
    </row>
    <row r="18" spans="1:3">
      <c r="A18" s="164">
        <v>30044384</v>
      </c>
      <c r="B18" s="172" t="s">
        <v>844</v>
      </c>
      <c r="C18" s="169">
        <v>107305</v>
      </c>
    </row>
    <row r="19" spans="1:3">
      <c r="A19" s="155">
        <v>30076274</v>
      </c>
      <c r="B19" s="161" t="s">
        <v>845</v>
      </c>
      <c r="C19" s="169">
        <v>228421</v>
      </c>
    </row>
    <row r="20" spans="1:3">
      <c r="A20" s="155">
        <v>30077750</v>
      </c>
      <c r="B20" s="161" t="s">
        <v>846</v>
      </c>
      <c r="C20" s="169">
        <v>23776</v>
      </c>
    </row>
    <row r="21" spans="1:3" ht="26.25">
      <c r="A21" s="155">
        <v>30465392</v>
      </c>
      <c r="B21" s="157" t="s">
        <v>847</v>
      </c>
      <c r="C21" s="169">
        <v>0</v>
      </c>
    </row>
    <row r="22" spans="1:3">
      <c r="A22" s="155">
        <v>30109140</v>
      </c>
      <c r="B22" s="161" t="s">
        <v>142</v>
      </c>
      <c r="C22" s="169">
        <v>392218</v>
      </c>
    </row>
    <row r="23" spans="1:3" ht="26.25">
      <c r="A23" s="156">
        <v>30481995</v>
      </c>
      <c r="B23" s="157" t="s">
        <v>848</v>
      </c>
      <c r="C23" s="169">
        <v>19090</v>
      </c>
    </row>
    <row r="24" spans="1:3" ht="26.25">
      <c r="A24" s="156">
        <v>30131804</v>
      </c>
      <c r="B24" s="157" t="s">
        <v>195</v>
      </c>
      <c r="C24" s="169">
        <v>377269</v>
      </c>
    </row>
    <row r="25" spans="1:3" ht="26.25">
      <c r="A25" s="156">
        <v>30108069</v>
      </c>
      <c r="B25" s="157" t="s">
        <v>347</v>
      </c>
      <c r="C25" s="169">
        <v>470789</v>
      </c>
    </row>
    <row r="26" spans="1:3">
      <c r="A26" s="156">
        <v>30100263</v>
      </c>
      <c r="B26" s="157" t="s">
        <v>849</v>
      </c>
      <c r="C26" s="169">
        <v>33000</v>
      </c>
    </row>
    <row r="27" spans="1:3" ht="26.25">
      <c r="A27" s="156">
        <v>30109787</v>
      </c>
      <c r="B27" s="157" t="s">
        <v>850</v>
      </c>
      <c r="C27" s="169">
        <v>40912</v>
      </c>
    </row>
    <row r="28" spans="1:3">
      <c r="A28" s="156">
        <v>30086690</v>
      </c>
      <c r="B28" s="157" t="s">
        <v>851</v>
      </c>
      <c r="C28" s="169">
        <v>904034</v>
      </c>
    </row>
    <row r="29" spans="1:3">
      <c r="A29" s="156">
        <v>30486418</v>
      </c>
      <c r="B29" s="157" t="s">
        <v>852</v>
      </c>
      <c r="C29" s="169">
        <v>109125</v>
      </c>
    </row>
    <row r="30" spans="1:3">
      <c r="A30" s="156">
        <v>30064663</v>
      </c>
      <c r="B30" s="157" t="s">
        <v>853</v>
      </c>
      <c r="C30" s="169">
        <v>0</v>
      </c>
    </row>
    <row r="31" spans="1:3">
      <c r="A31" s="156">
        <v>30447522</v>
      </c>
      <c r="B31" s="173" t="s">
        <v>854</v>
      </c>
      <c r="C31" s="169">
        <v>879800</v>
      </c>
    </row>
    <row r="32" spans="1:3">
      <c r="A32" s="156">
        <v>30100599</v>
      </c>
      <c r="B32" s="157" t="s">
        <v>855</v>
      </c>
      <c r="C32" s="169">
        <v>102301</v>
      </c>
    </row>
    <row r="33" spans="1:3" ht="26.25">
      <c r="A33" s="156">
        <v>30483251</v>
      </c>
      <c r="B33" s="157" t="s">
        <v>856</v>
      </c>
      <c r="C33" s="169">
        <v>27179</v>
      </c>
    </row>
    <row r="34" spans="1:3">
      <c r="A34" s="156">
        <v>30124186</v>
      </c>
      <c r="B34" s="173" t="s">
        <v>857</v>
      </c>
      <c r="C34" s="169">
        <v>118067</v>
      </c>
    </row>
    <row r="35" spans="1:3">
      <c r="A35" s="156">
        <v>30484216</v>
      </c>
      <c r="B35" s="157" t="s">
        <v>858</v>
      </c>
      <c r="C35" s="169">
        <v>343304</v>
      </c>
    </row>
    <row r="36" spans="1:3">
      <c r="A36" s="156">
        <v>30124513</v>
      </c>
      <c r="B36" s="174" t="s">
        <v>859</v>
      </c>
      <c r="C36" s="169">
        <v>284619</v>
      </c>
    </row>
    <row r="37" spans="1:3" ht="26.25">
      <c r="A37" s="156">
        <v>40000508</v>
      </c>
      <c r="B37" s="157" t="s">
        <v>210</v>
      </c>
      <c r="C37" s="169">
        <v>45000</v>
      </c>
    </row>
    <row r="38" spans="1:3" ht="26.25">
      <c r="A38" s="156">
        <v>40005349</v>
      </c>
      <c r="B38" s="157" t="s">
        <v>860</v>
      </c>
      <c r="C38" s="169">
        <v>0</v>
      </c>
    </row>
    <row r="39" spans="1:3" ht="26.25">
      <c r="A39" s="156">
        <v>40000697</v>
      </c>
      <c r="B39" s="157" t="s">
        <v>861</v>
      </c>
      <c r="C39" s="169">
        <v>11000</v>
      </c>
    </row>
    <row r="40" spans="1:3" ht="26.25">
      <c r="A40" s="156">
        <v>30393924</v>
      </c>
      <c r="B40" s="173" t="s">
        <v>227</v>
      </c>
      <c r="C40" s="169">
        <v>293558</v>
      </c>
    </row>
    <row r="41" spans="1:3" ht="26.25">
      <c r="A41" s="156">
        <v>30431172</v>
      </c>
      <c r="B41" s="157" t="s">
        <v>862</v>
      </c>
      <c r="C41" s="169">
        <v>22440</v>
      </c>
    </row>
    <row r="42" spans="1:3">
      <c r="A42" s="156">
        <v>30109834</v>
      </c>
      <c r="B42" s="173" t="s">
        <v>235</v>
      </c>
      <c r="C42" s="169">
        <v>668415</v>
      </c>
    </row>
    <row r="43" spans="1:3" ht="26.25">
      <c r="A43" s="156">
        <v>30484211</v>
      </c>
      <c r="B43" s="157" t="s">
        <v>231</v>
      </c>
      <c r="C43" s="169">
        <v>220000</v>
      </c>
    </row>
    <row r="44" spans="1:3">
      <c r="A44" s="158">
        <v>30150673</v>
      </c>
      <c r="B44" s="162" t="s">
        <v>863</v>
      </c>
      <c r="C44" s="169">
        <v>173461</v>
      </c>
    </row>
    <row r="45" spans="1:3">
      <c r="A45" s="164">
        <v>30085388</v>
      </c>
      <c r="B45" s="175" t="s">
        <v>864</v>
      </c>
      <c r="C45" s="169">
        <v>331249</v>
      </c>
    </row>
    <row r="46" spans="1:3" ht="25.5">
      <c r="A46" s="164">
        <v>30109832</v>
      </c>
      <c r="B46" s="162" t="s">
        <v>865</v>
      </c>
      <c r="C46" s="169">
        <v>133844</v>
      </c>
    </row>
    <row r="47" spans="1:3" ht="25.5">
      <c r="A47" s="164">
        <v>30477535</v>
      </c>
      <c r="B47" s="175" t="s">
        <v>866</v>
      </c>
      <c r="C47" s="169">
        <v>50173</v>
      </c>
    </row>
    <row r="48" spans="1:3">
      <c r="A48" s="164">
        <v>30484182</v>
      </c>
      <c r="B48" s="162" t="s">
        <v>154</v>
      </c>
      <c r="C48" s="169">
        <v>40049</v>
      </c>
    </row>
    <row r="49" spans="1:3" ht="26.25">
      <c r="A49" s="156">
        <v>30485976</v>
      </c>
      <c r="B49" s="157" t="s">
        <v>867</v>
      </c>
      <c r="C49" s="169">
        <v>167005</v>
      </c>
    </row>
    <row r="50" spans="1:3">
      <c r="A50" s="156">
        <v>40003818</v>
      </c>
      <c r="B50" s="157" t="s">
        <v>868</v>
      </c>
      <c r="C50" s="169">
        <v>29725</v>
      </c>
    </row>
    <row r="51" spans="1:3">
      <c r="A51" s="156">
        <v>30037147</v>
      </c>
      <c r="B51" s="157" t="s">
        <v>869</v>
      </c>
      <c r="C51" s="169">
        <v>0</v>
      </c>
    </row>
    <row r="52" spans="1:3">
      <c r="A52" s="156">
        <v>40003225</v>
      </c>
      <c r="B52" s="157" t="s">
        <v>870</v>
      </c>
      <c r="C52" s="169">
        <v>8000</v>
      </c>
    </row>
    <row r="53" spans="1:3">
      <c r="A53" s="156">
        <v>30134340</v>
      </c>
      <c r="B53" s="157" t="s">
        <v>871</v>
      </c>
      <c r="C53" s="169">
        <v>47296</v>
      </c>
    </row>
    <row r="54" spans="1:3" ht="26.25">
      <c r="A54" s="156">
        <v>30457897</v>
      </c>
      <c r="B54" s="157" t="s">
        <v>872</v>
      </c>
      <c r="C54" s="169">
        <v>133952</v>
      </c>
    </row>
    <row r="55" spans="1:3">
      <c r="A55" s="156">
        <v>30150676</v>
      </c>
      <c r="B55" s="173" t="s">
        <v>873</v>
      </c>
      <c r="C55" s="169">
        <v>1500</v>
      </c>
    </row>
    <row r="56" spans="1:3">
      <c r="A56" s="156">
        <v>30473496</v>
      </c>
      <c r="B56" s="157" t="s">
        <v>874</v>
      </c>
      <c r="C56" s="169">
        <v>15000</v>
      </c>
    </row>
    <row r="57" spans="1:3" ht="26.25">
      <c r="A57" s="156">
        <v>30123628</v>
      </c>
      <c r="B57" s="157" t="s">
        <v>875</v>
      </c>
      <c r="C57" s="169">
        <v>104217</v>
      </c>
    </row>
    <row r="58" spans="1:3" ht="26.25">
      <c r="A58" s="156">
        <v>30124440</v>
      </c>
      <c r="B58" s="157" t="s">
        <v>876</v>
      </c>
      <c r="C58" s="169">
        <v>60640</v>
      </c>
    </row>
    <row r="59" spans="1:3">
      <c r="A59" s="156">
        <v>30147622</v>
      </c>
      <c r="B59" s="173" t="s">
        <v>877</v>
      </c>
      <c r="C59" s="169">
        <v>47000</v>
      </c>
    </row>
    <row r="60" spans="1:3">
      <c r="A60" s="156">
        <v>30460171</v>
      </c>
      <c r="B60" s="157" t="s">
        <v>242</v>
      </c>
      <c r="C60" s="169">
        <v>344917</v>
      </c>
    </row>
    <row r="61" spans="1:3" ht="26.25">
      <c r="A61" s="156">
        <v>40006352</v>
      </c>
      <c r="B61" s="157" t="s">
        <v>878</v>
      </c>
      <c r="C61" s="169">
        <v>91102</v>
      </c>
    </row>
    <row r="62" spans="1:3">
      <c r="A62" s="156">
        <v>30149176</v>
      </c>
      <c r="B62" s="157" t="s">
        <v>249</v>
      </c>
      <c r="C62" s="169">
        <v>1320490</v>
      </c>
    </row>
    <row r="63" spans="1:3" ht="26.25">
      <c r="A63" s="156">
        <v>40003078</v>
      </c>
      <c r="B63" s="157" t="s">
        <v>879</v>
      </c>
      <c r="C63" s="169">
        <v>28000</v>
      </c>
    </row>
    <row r="64" spans="1:3">
      <c r="A64" s="156">
        <v>30483947</v>
      </c>
      <c r="B64" s="157" t="s">
        <v>880</v>
      </c>
      <c r="C64" s="169">
        <v>0</v>
      </c>
    </row>
    <row r="65" spans="1:3" ht="25.5">
      <c r="A65" s="165">
        <v>30139872</v>
      </c>
      <c r="B65" s="176" t="s">
        <v>881</v>
      </c>
      <c r="C65" s="169">
        <v>1450</v>
      </c>
    </row>
    <row r="66" spans="1:3" ht="25.5">
      <c r="A66" s="165">
        <v>30139823</v>
      </c>
      <c r="B66" s="176" t="s">
        <v>882</v>
      </c>
      <c r="C66" s="169">
        <v>1500</v>
      </c>
    </row>
    <row r="67" spans="1:3" ht="25.5">
      <c r="A67" s="165">
        <v>30275183</v>
      </c>
      <c r="B67" s="176" t="s">
        <v>196</v>
      </c>
      <c r="C67" s="169">
        <v>10493</v>
      </c>
    </row>
    <row r="68" spans="1:3">
      <c r="A68" s="165">
        <v>30479844</v>
      </c>
      <c r="B68" s="176" t="s">
        <v>883</v>
      </c>
      <c r="C68" s="169">
        <v>1500</v>
      </c>
    </row>
    <row r="69" spans="1:3" ht="26.25">
      <c r="A69" s="156">
        <v>30484185</v>
      </c>
      <c r="B69" s="157" t="s">
        <v>884</v>
      </c>
      <c r="C69" s="169">
        <v>12976</v>
      </c>
    </row>
    <row r="70" spans="1:3" ht="26.25">
      <c r="A70" s="159">
        <v>30484187</v>
      </c>
      <c r="B70" s="157" t="s">
        <v>885</v>
      </c>
      <c r="C70" s="169">
        <v>9594</v>
      </c>
    </row>
    <row r="71" spans="1:3" ht="26.25">
      <c r="A71" s="156">
        <v>30484184</v>
      </c>
      <c r="B71" s="157" t="s">
        <v>886</v>
      </c>
      <c r="C71" s="169">
        <v>8914</v>
      </c>
    </row>
    <row r="72" spans="1:3" ht="26.25">
      <c r="A72" s="156">
        <v>30484157</v>
      </c>
      <c r="B72" s="157" t="s">
        <v>887</v>
      </c>
      <c r="C72" s="169">
        <v>0</v>
      </c>
    </row>
    <row r="73" spans="1:3" ht="26.25">
      <c r="A73" s="156">
        <v>30409422</v>
      </c>
      <c r="B73" s="157" t="s">
        <v>888</v>
      </c>
      <c r="C73" s="169">
        <v>0</v>
      </c>
    </row>
    <row r="74" spans="1:3" ht="26.25">
      <c r="A74" s="156">
        <v>40003156</v>
      </c>
      <c r="B74" s="157" t="s">
        <v>889</v>
      </c>
      <c r="C74" s="169">
        <v>68276</v>
      </c>
    </row>
    <row r="75" spans="1:3">
      <c r="A75" s="156">
        <v>40010119</v>
      </c>
      <c r="B75" s="157" t="s">
        <v>890</v>
      </c>
      <c r="C75" s="169">
        <v>0</v>
      </c>
    </row>
    <row r="76" spans="1:3">
      <c r="A76" s="156">
        <v>30369072</v>
      </c>
      <c r="B76" s="157" t="s">
        <v>606</v>
      </c>
      <c r="C76" s="169">
        <v>15650</v>
      </c>
    </row>
    <row r="77" spans="1:3">
      <c r="A77" s="156">
        <v>30176022</v>
      </c>
      <c r="B77" s="157" t="s">
        <v>247</v>
      </c>
      <c r="C77" s="169">
        <v>280048</v>
      </c>
    </row>
    <row r="78" spans="1:3">
      <c r="A78" s="156">
        <v>40011860</v>
      </c>
      <c r="B78" s="157" t="s">
        <v>891</v>
      </c>
      <c r="C78" s="169">
        <v>400847</v>
      </c>
    </row>
    <row r="79" spans="1:3" ht="26.25">
      <c r="A79" s="156">
        <v>40013536</v>
      </c>
      <c r="B79" s="157" t="s">
        <v>173</v>
      </c>
      <c r="C79" s="169">
        <v>510000</v>
      </c>
    </row>
    <row r="80" spans="1:3" ht="26.25">
      <c r="A80" s="156">
        <v>30070093</v>
      </c>
      <c r="B80" s="177" t="s">
        <v>892</v>
      </c>
      <c r="C80" s="169">
        <v>393874</v>
      </c>
    </row>
    <row r="81" spans="1:3">
      <c r="A81" s="156">
        <v>40016415</v>
      </c>
      <c r="B81" s="177" t="s">
        <v>244</v>
      </c>
      <c r="C81" s="169">
        <v>416681</v>
      </c>
    </row>
    <row r="82" spans="1:3" ht="26.25">
      <c r="A82" s="156">
        <v>40015360</v>
      </c>
      <c r="B82" s="177" t="s">
        <v>893</v>
      </c>
      <c r="C82" s="169">
        <v>344550</v>
      </c>
    </row>
    <row r="83" spans="1:3">
      <c r="A83" s="156">
        <v>30484167</v>
      </c>
      <c r="B83" s="177" t="s">
        <v>894</v>
      </c>
      <c r="C83" s="169">
        <v>275961</v>
      </c>
    </row>
    <row r="84" spans="1:3" ht="26.25">
      <c r="A84" s="156">
        <v>40012802</v>
      </c>
      <c r="B84" s="177" t="s">
        <v>159</v>
      </c>
      <c r="C84" s="169">
        <v>840000</v>
      </c>
    </row>
    <row r="85" spans="1:3" ht="26.25">
      <c r="A85" s="156">
        <v>40014111</v>
      </c>
      <c r="B85" s="177" t="s">
        <v>607</v>
      </c>
      <c r="C85" s="169">
        <v>24335</v>
      </c>
    </row>
    <row r="86" spans="1:3" ht="26.25">
      <c r="A86" s="156">
        <v>40009212</v>
      </c>
      <c r="B86" s="177" t="s">
        <v>895</v>
      </c>
      <c r="C86" s="169">
        <v>2142781</v>
      </c>
    </row>
    <row r="87" spans="1:3" ht="26.25">
      <c r="A87" s="156">
        <v>40016397</v>
      </c>
      <c r="B87" s="177" t="s">
        <v>349</v>
      </c>
      <c r="C87" s="169">
        <v>49980</v>
      </c>
    </row>
    <row r="88" spans="1:3" ht="26.25">
      <c r="A88" s="156">
        <v>40016396</v>
      </c>
      <c r="B88" s="177" t="s">
        <v>896</v>
      </c>
      <c r="C88" s="169">
        <v>63000</v>
      </c>
    </row>
    <row r="89" spans="1:3">
      <c r="A89" s="156">
        <v>40018067</v>
      </c>
      <c r="B89" s="177" t="s">
        <v>897</v>
      </c>
      <c r="C89" s="169">
        <v>428</v>
      </c>
    </row>
    <row r="90" spans="1:3">
      <c r="A90" s="165">
        <v>20169732</v>
      </c>
      <c r="B90" s="176" t="s">
        <v>898</v>
      </c>
      <c r="C90" s="169">
        <v>115570</v>
      </c>
    </row>
    <row r="91" spans="1:3">
      <c r="A91" s="156">
        <v>30010979</v>
      </c>
      <c r="B91" s="157" t="s">
        <v>899</v>
      </c>
      <c r="C91" s="169">
        <v>1</v>
      </c>
    </row>
    <row r="92" spans="1:3" ht="26.25">
      <c r="A92" s="166">
        <v>30100596</v>
      </c>
      <c r="B92" s="178" t="s">
        <v>900</v>
      </c>
      <c r="C92" s="169">
        <v>1</v>
      </c>
    </row>
    <row r="93" spans="1:3">
      <c r="A93" s="160">
        <v>300646630</v>
      </c>
      <c r="B93" s="179" t="s">
        <v>901</v>
      </c>
      <c r="C93" s="169">
        <v>478469</v>
      </c>
    </row>
    <row r="94" spans="1:3">
      <c r="A94" s="155">
        <v>30091815</v>
      </c>
      <c r="B94" s="157" t="s">
        <v>902</v>
      </c>
      <c r="C94" s="169">
        <v>132000</v>
      </c>
    </row>
    <row r="95" spans="1:3">
      <c r="A95" s="156">
        <v>30432172</v>
      </c>
      <c r="B95" s="157" t="s">
        <v>903</v>
      </c>
      <c r="C95" s="169">
        <v>0</v>
      </c>
    </row>
    <row r="96" spans="1:3">
      <c r="A96" s="155">
        <v>40012771</v>
      </c>
      <c r="B96" s="157" t="s">
        <v>904</v>
      </c>
      <c r="C96" s="169">
        <v>0</v>
      </c>
    </row>
    <row r="97" spans="1:3">
      <c r="A97" s="155">
        <v>40009552</v>
      </c>
      <c r="B97" s="157" t="s">
        <v>905</v>
      </c>
      <c r="C97" s="169">
        <v>397260</v>
      </c>
    </row>
    <row r="98" spans="1:3" ht="26.25">
      <c r="A98" s="155">
        <v>40012018</v>
      </c>
      <c r="B98" s="157" t="s">
        <v>906</v>
      </c>
      <c r="C98" s="169">
        <v>250000</v>
      </c>
    </row>
    <row r="99" spans="1:3" ht="26.25">
      <c r="A99" s="155">
        <v>30484186</v>
      </c>
      <c r="B99" s="157" t="s">
        <v>907</v>
      </c>
      <c r="C99" s="169">
        <v>21000</v>
      </c>
    </row>
    <row r="100" spans="1:3">
      <c r="A100" s="156">
        <v>40013598</v>
      </c>
      <c r="B100" s="177" t="s">
        <v>908</v>
      </c>
      <c r="C100" s="169">
        <v>273478</v>
      </c>
    </row>
    <row r="101" spans="1:3">
      <c r="A101" s="155">
        <v>40009344</v>
      </c>
      <c r="B101" s="161" t="s">
        <v>909</v>
      </c>
      <c r="C101" s="169">
        <v>436646</v>
      </c>
    </row>
    <row r="102" spans="1:3">
      <c r="A102" s="155">
        <v>40013615</v>
      </c>
      <c r="B102" s="161" t="s">
        <v>910</v>
      </c>
      <c r="C102" s="169">
        <v>0</v>
      </c>
    </row>
    <row r="103" spans="1:3">
      <c r="A103" s="155">
        <v>40006217</v>
      </c>
      <c r="B103" s="161" t="s">
        <v>148</v>
      </c>
      <c r="C103" s="169">
        <v>174792</v>
      </c>
    </row>
    <row r="104" spans="1:3" ht="26.25">
      <c r="A104" s="156">
        <v>30439686</v>
      </c>
      <c r="B104" s="157" t="s">
        <v>911</v>
      </c>
      <c r="C104" s="169">
        <v>390000</v>
      </c>
    </row>
    <row r="105" spans="1:3" ht="25.5">
      <c r="A105" s="163">
        <v>30064704</v>
      </c>
      <c r="B105" s="170" t="s">
        <v>912</v>
      </c>
      <c r="C105" s="169">
        <v>65238</v>
      </c>
    </row>
    <row r="106" spans="1:3">
      <c r="A106" s="156">
        <v>40008745</v>
      </c>
      <c r="B106" s="177" t="s">
        <v>913</v>
      </c>
      <c r="C106" s="169">
        <v>0</v>
      </c>
    </row>
    <row r="107" spans="1:3">
      <c r="A107" s="156">
        <v>30093561</v>
      </c>
      <c r="B107" s="157" t="s">
        <v>914</v>
      </c>
      <c r="C107" s="169">
        <v>832000</v>
      </c>
    </row>
    <row r="108" spans="1:3">
      <c r="A108" s="156">
        <v>30007043</v>
      </c>
      <c r="B108" s="177" t="s">
        <v>915</v>
      </c>
      <c r="C108" s="169">
        <v>171000</v>
      </c>
    </row>
    <row r="109" spans="1:3" ht="26.25">
      <c r="A109" s="156">
        <v>40004196</v>
      </c>
      <c r="B109" s="157" t="s">
        <v>916</v>
      </c>
      <c r="C109" s="169">
        <v>310565</v>
      </c>
    </row>
    <row r="110" spans="1:3" ht="26.25">
      <c r="A110" s="156">
        <v>40004434</v>
      </c>
      <c r="B110" s="157" t="s">
        <v>917</v>
      </c>
      <c r="C110" s="169">
        <v>506371</v>
      </c>
    </row>
    <row r="111" spans="1:3">
      <c r="A111" s="156">
        <v>40009584</v>
      </c>
      <c r="B111" s="180" t="s">
        <v>918</v>
      </c>
      <c r="C111" s="169">
        <v>296149</v>
      </c>
    </row>
    <row r="112" spans="1:3">
      <c r="A112" s="155">
        <v>30140173</v>
      </c>
      <c r="B112" s="181" t="s">
        <v>919</v>
      </c>
      <c r="C112" s="169">
        <v>746598</v>
      </c>
    </row>
    <row r="113" spans="1:3">
      <c r="A113" s="155">
        <v>30001033</v>
      </c>
      <c r="B113" s="181" t="s">
        <v>920</v>
      </c>
      <c r="C113" s="169">
        <v>54696</v>
      </c>
    </row>
    <row r="114" spans="1:3">
      <c r="A114" s="155">
        <v>30072951</v>
      </c>
      <c r="B114" s="181" t="s">
        <v>921</v>
      </c>
      <c r="C114" s="169">
        <v>109011</v>
      </c>
    </row>
    <row r="115" spans="1:3">
      <c r="A115" s="156">
        <v>30082130</v>
      </c>
      <c r="B115" s="177" t="s">
        <v>922</v>
      </c>
      <c r="C115" s="169">
        <v>132000</v>
      </c>
    </row>
    <row r="116" spans="1:3">
      <c r="A116" s="156">
        <v>40012009</v>
      </c>
      <c r="B116" s="177" t="s">
        <v>923</v>
      </c>
      <c r="C116" s="169">
        <v>0</v>
      </c>
    </row>
    <row r="117" spans="1:3" ht="26.25">
      <c r="A117" s="156">
        <v>40009572</v>
      </c>
      <c r="B117" s="177" t="s">
        <v>924</v>
      </c>
      <c r="C117" s="169">
        <v>12811</v>
      </c>
    </row>
    <row r="118" spans="1:3" ht="22.5">
      <c r="A118" s="156">
        <v>40011210</v>
      </c>
      <c r="B118" s="182" t="s">
        <v>925</v>
      </c>
      <c r="C118" s="169">
        <v>0</v>
      </c>
    </row>
    <row r="119" spans="1:3" ht="22.5">
      <c r="A119" s="166">
        <v>30123699</v>
      </c>
      <c r="B119" s="183" t="s">
        <v>926</v>
      </c>
      <c r="C119" s="169">
        <v>22951</v>
      </c>
    </row>
    <row r="120" spans="1:3" ht="22.5">
      <c r="A120" s="156">
        <v>30084699</v>
      </c>
      <c r="B120" s="184" t="s">
        <v>927</v>
      </c>
      <c r="C120" s="169">
        <v>611242</v>
      </c>
    </row>
    <row r="121" spans="1:3">
      <c r="A121" s="156">
        <v>40016874</v>
      </c>
      <c r="B121" s="182" t="s">
        <v>223</v>
      </c>
      <c r="C121" s="169">
        <v>0</v>
      </c>
    </row>
    <row r="122" spans="1:3">
      <c r="A122" s="156">
        <v>40017175</v>
      </c>
      <c r="B122" s="182" t="s">
        <v>928</v>
      </c>
      <c r="C122" s="169">
        <v>0</v>
      </c>
    </row>
    <row r="123" spans="1:3" ht="22.5">
      <c r="A123" s="156">
        <v>40006165</v>
      </c>
      <c r="B123" s="182" t="s">
        <v>929</v>
      </c>
      <c r="C123" s="169">
        <v>897463</v>
      </c>
    </row>
    <row r="124" spans="1:3">
      <c r="A124" s="156">
        <v>30176672</v>
      </c>
      <c r="B124" s="182" t="s">
        <v>930</v>
      </c>
      <c r="C124" s="169">
        <v>0</v>
      </c>
    </row>
    <row r="125" spans="1:3" ht="22.5">
      <c r="A125" s="156">
        <v>30480263</v>
      </c>
      <c r="B125" s="182" t="s">
        <v>931</v>
      </c>
      <c r="C125" s="169">
        <v>0</v>
      </c>
    </row>
    <row r="126" spans="1:3" ht="26.25">
      <c r="A126" s="156">
        <v>40016385</v>
      </c>
      <c r="B126" s="177" t="s">
        <v>932</v>
      </c>
      <c r="C126" s="169">
        <v>0</v>
      </c>
    </row>
    <row r="127" spans="1:3">
      <c r="A127" s="156">
        <v>40012014</v>
      </c>
      <c r="B127" s="185" t="s">
        <v>933</v>
      </c>
      <c r="C127" s="169">
        <v>0</v>
      </c>
    </row>
    <row r="128" spans="1:3">
      <c r="A128" s="156">
        <v>30486611</v>
      </c>
      <c r="B128" s="177" t="s">
        <v>934</v>
      </c>
      <c r="C128" s="169">
        <v>0</v>
      </c>
    </row>
    <row r="129" spans="1:3">
      <c r="A129" s="156">
        <v>40006784</v>
      </c>
      <c r="B129" s="177" t="s">
        <v>145</v>
      </c>
      <c r="C129" s="169">
        <v>76190</v>
      </c>
    </row>
    <row r="130" spans="1:3" ht="26.25">
      <c r="A130" s="156">
        <v>30136164</v>
      </c>
      <c r="B130" s="157" t="s">
        <v>935</v>
      </c>
      <c r="C130" s="169">
        <v>0</v>
      </c>
    </row>
    <row r="131" spans="1:3">
      <c r="A131" s="163">
        <v>30065234</v>
      </c>
      <c r="B131" s="161" t="s">
        <v>936</v>
      </c>
      <c r="C131" s="169">
        <v>2000</v>
      </c>
    </row>
    <row r="132" spans="1:3" ht="25.5">
      <c r="A132" s="158">
        <v>30073874</v>
      </c>
      <c r="B132" s="162" t="s">
        <v>937</v>
      </c>
      <c r="C132" s="169">
        <v>842762</v>
      </c>
    </row>
    <row r="133" spans="1:3" ht="33">
      <c r="A133" s="158">
        <v>40009682</v>
      </c>
      <c r="B133" s="183" t="s">
        <v>938</v>
      </c>
      <c r="C133" s="169">
        <v>0</v>
      </c>
    </row>
    <row r="134" spans="1:3" ht="22.5">
      <c r="A134" s="158">
        <v>40000654</v>
      </c>
      <c r="B134" s="183" t="s">
        <v>939</v>
      </c>
      <c r="C134" s="169">
        <v>0</v>
      </c>
    </row>
    <row r="135" spans="1:3" ht="22.5">
      <c r="A135" s="158">
        <v>40016565</v>
      </c>
      <c r="B135" s="183" t="s">
        <v>940</v>
      </c>
      <c r="C135" s="169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87" t="s">
        <v>941</v>
      </c>
      <c r="B2" s="187"/>
      <c r="C2" s="187"/>
      <c r="D2" s="187" t="s">
        <v>942</v>
      </c>
      <c r="E2" s="187" t="s">
        <v>943</v>
      </c>
      <c r="F2" s="186" t="s">
        <v>78</v>
      </c>
      <c r="G2" s="186" t="s">
        <v>944</v>
      </c>
      <c r="H2" s="187" t="s">
        <v>945</v>
      </c>
      <c r="I2" s="186" t="s">
        <v>946</v>
      </c>
      <c r="J2" s="186" t="s">
        <v>947</v>
      </c>
      <c r="K2" s="186" t="s">
        <v>948</v>
      </c>
    </row>
    <row r="3" spans="1:11" ht="22.5">
      <c r="A3" s="191"/>
      <c r="B3" s="189" t="s">
        <v>25</v>
      </c>
      <c r="C3" s="190" t="s">
        <v>365</v>
      </c>
      <c r="D3" s="188" t="s">
        <v>949</v>
      </c>
      <c r="E3" s="192" t="s">
        <v>950</v>
      </c>
      <c r="F3" s="193" t="s">
        <v>102</v>
      </c>
      <c r="G3" s="193" t="s">
        <v>211</v>
      </c>
      <c r="H3" s="193" t="s">
        <v>368</v>
      </c>
      <c r="I3" s="194" t="s">
        <v>131</v>
      </c>
      <c r="J3" s="195">
        <v>2000000</v>
      </c>
      <c r="K3" s="195">
        <v>2000000</v>
      </c>
    </row>
    <row r="4" spans="1:11" ht="33.75">
      <c r="A4" s="191"/>
      <c r="B4" s="189" t="s">
        <v>27</v>
      </c>
      <c r="C4" s="190" t="s">
        <v>951</v>
      </c>
      <c r="D4" s="188" t="s">
        <v>949</v>
      </c>
      <c r="E4" s="192" t="s">
        <v>952</v>
      </c>
      <c r="F4" s="193" t="s">
        <v>102</v>
      </c>
      <c r="G4" s="193" t="s">
        <v>953</v>
      </c>
      <c r="H4" s="193" t="s">
        <v>954</v>
      </c>
      <c r="I4" s="194" t="s">
        <v>131</v>
      </c>
      <c r="J4" s="195">
        <v>791857.46499999997</v>
      </c>
      <c r="K4" s="195">
        <v>263953</v>
      </c>
    </row>
    <row r="5" spans="1:11" ht="22.5">
      <c r="A5" s="188">
        <v>40021790</v>
      </c>
      <c r="B5" s="189" t="s">
        <v>27</v>
      </c>
      <c r="C5" s="189" t="s">
        <v>644</v>
      </c>
      <c r="D5" s="188" t="s">
        <v>949</v>
      </c>
      <c r="E5" s="192" t="s">
        <v>955</v>
      </c>
      <c r="F5" s="193" t="s">
        <v>956</v>
      </c>
      <c r="G5" s="193" t="s">
        <v>184</v>
      </c>
      <c r="H5" s="193" t="s">
        <v>214</v>
      </c>
      <c r="I5" s="194" t="s">
        <v>957</v>
      </c>
      <c r="J5" s="195">
        <v>2401695</v>
      </c>
      <c r="K5" s="195">
        <v>160254</v>
      </c>
    </row>
    <row r="6" spans="1:11" ht="33.75">
      <c r="A6" s="196">
        <v>30100137</v>
      </c>
      <c r="B6" s="189" t="s">
        <v>27</v>
      </c>
      <c r="C6" s="189" t="s">
        <v>644</v>
      </c>
      <c r="D6" s="188" t="s">
        <v>949</v>
      </c>
      <c r="E6" s="192" t="s">
        <v>958</v>
      </c>
      <c r="F6" s="193" t="s">
        <v>959</v>
      </c>
      <c r="G6" s="197" t="s">
        <v>184</v>
      </c>
      <c r="H6" s="193" t="s">
        <v>234</v>
      </c>
      <c r="I6" s="194" t="s">
        <v>131</v>
      </c>
      <c r="J6" s="195">
        <v>8173158.3330000006</v>
      </c>
      <c r="K6" s="195">
        <v>812774</v>
      </c>
    </row>
    <row r="7" spans="1:11" ht="22.5">
      <c r="A7" s="196">
        <v>30073659</v>
      </c>
      <c r="B7" s="189" t="s">
        <v>27</v>
      </c>
      <c r="C7" s="189" t="s">
        <v>644</v>
      </c>
      <c r="D7" s="188" t="s">
        <v>949</v>
      </c>
      <c r="E7" s="192" t="s">
        <v>960</v>
      </c>
      <c r="F7" s="193" t="s">
        <v>90</v>
      </c>
      <c r="G7" s="197" t="s">
        <v>184</v>
      </c>
      <c r="H7" s="193" t="s">
        <v>137</v>
      </c>
      <c r="I7" s="194" t="s">
        <v>131</v>
      </c>
      <c r="J7" s="195">
        <v>3529211.1189999999</v>
      </c>
      <c r="K7" s="195">
        <v>205452</v>
      </c>
    </row>
    <row r="8" spans="1:11" ht="22.5">
      <c r="A8" s="196">
        <v>30073803</v>
      </c>
      <c r="B8" s="189" t="s">
        <v>27</v>
      </c>
      <c r="C8" s="189" t="s">
        <v>644</v>
      </c>
      <c r="D8" s="188" t="s">
        <v>949</v>
      </c>
      <c r="E8" s="192" t="s">
        <v>961</v>
      </c>
      <c r="F8" s="193" t="s">
        <v>96</v>
      </c>
      <c r="G8" s="197" t="s">
        <v>184</v>
      </c>
      <c r="H8" s="193" t="s">
        <v>179</v>
      </c>
      <c r="I8" s="194" t="s">
        <v>131</v>
      </c>
      <c r="J8" s="195">
        <v>2869930.42</v>
      </c>
      <c r="K8" s="195">
        <v>276414</v>
      </c>
    </row>
    <row r="9" spans="1:11" ht="33.75">
      <c r="A9" s="196">
        <v>30079953</v>
      </c>
      <c r="B9" s="189" t="s">
        <v>27</v>
      </c>
      <c r="C9" s="189" t="s">
        <v>644</v>
      </c>
      <c r="D9" s="188" t="s">
        <v>949</v>
      </c>
      <c r="E9" s="192" t="s">
        <v>962</v>
      </c>
      <c r="F9" s="193" t="s">
        <v>99</v>
      </c>
      <c r="G9" s="197" t="s">
        <v>184</v>
      </c>
      <c r="H9" s="193" t="s">
        <v>198</v>
      </c>
      <c r="I9" s="194" t="s">
        <v>131</v>
      </c>
      <c r="J9" s="195">
        <v>2503939</v>
      </c>
      <c r="K9" s="195">
        <v>56731</v>
      </c>
    </row>
    <row r="10" spans="1:11" ht="22.5">
      <c r="A10" s="196">
        <v>30124512</v>
      </c>
      <c r="B10" s="189" t="s">
        <v>27</v>
      </c>
      <c r="C10" s="189" t="s">
        <v>644</v>
      </c>
      <c r="D10" s="188" t="s">
        <v>949</v>
      </c>
      <c r="E10" s="192" t="s">
        <v>267</v>
      </c>
      <c r="F10" s="193" t="s">
        <v>90</v>
      </c>
      <c r="G10" s="197" t="s">
        <v>184</v>
      </c>
      <c r="H10" s="193" t="s">
        <v>137</v>
      </c>
      <c r="I10" s="194" t="s">
        <v>151</v>
      </c>
      <c r="J10" s="195">
        <v>2029585.5</v>
      </c>
      <c r="K10" s="195">
        <v>566560</v>
      </c>
    </row>
    <row r="11" spans="1:11" ht="33.75">
      <c r="A11" s="196">
        <v>30100128</v>
      </c>
      <c r="B11" s="189" t="s">
        <v>27</v>
      </c>
      <c r="C11" s="189" t="s">
        <v>644</v>
      </c>
      <c r="D11" s="188" t="s">
        <v>949</v>
      </c>
      <c r="E11" s="192" t="s">
        <v>262</v>
      </c>
      <c r="F11" s="193" t="s">
        <v>959</v>
      </c>
      <c r="G11" s="197" t="s">
        <v>184</v>
      </c>
      <c r="H11" s="193" t="s">
        <v>234</v>
      </c>
      <c r="I11" s="194" t="s">
        <v>131</v>
      </c>
      <c r="J11" s="195">
        <v>3242241</v>
      </c>
      <c r="K11" s="195">
        <v>800000</v>
      </c>
    </row>
    <row r="12" spans="1:11" ht="22.5">
      <c r="A12" s="196">
        <v>30078379</v>
      </c>
      <c r="B12" s="189" t="s">
        <v>27</v>
      </c>
      <c r="C12" s="189" t="s">
        <v>644</v>
      </c>
      <c r="D12" s="188" t="s">
        <v>949</v>
      </c>
      <c r="E12" s="192" t="s">
        <v>963</v>
      </c>
      <c r="F12" s="193" t="s">
        <v>85</v>
      </c>
      <c r="G12" s="197" t="s">
        <v>184</v>
      </c>
      <c r="H12" s="193" t="s">
        <v>194</v>
      </c>
      <c r="I12" s="194" t="s">
        <v>170</v>
      </c>
      <c r="J12" s="195">
        <v>4892297</v>
      </c>
      <c r="K12" s="195">
        <v>80000</v>
      </c>
    </row>
    <row r="13" spans="1:11" ht="33.75">
      <c r="A13" s="196">
        <v>30096195</v>
      </c>
      <c r="B13" s="189" t="s">
        <v>27</v>
      </c>
      <c r="C13" s="189" t="s">
        <v>644</v>
      </c>
      <c r="D13" s="188" t="s">
        <v>949</v>
      </c>
      <c r="E13" s="192" t="s">
        <v>964</v>
      </c>
      <c r="F13" s="193" t="s">
        <v>83</v>
      </c>
      <c r="G13" s="197" t="s">
        <v>184</v>
      </c>
      <c r="H13" s="193" t="s">
        <v>156</v>
      </c>
      <c r="I13" s="194" t="s">
        <v>170</v>
      </c>
      <c r="J13" s="195">
        <v>2358659</v>
      </c>
      <c r="K13" s="195">
        <v>152677</v>
      </c>
    </row>
    <row r="14" spans="1:11" ht="22.5">
      <c r="A14" s="196">
        <v>30124552</v>
      </c>
      <c r="B14" s="189" t="s">
        <v>27</v>
      </c>
      <c r="C14" s="189" t="s">
        <v>644</v>
      </c>
      <c r="D14" s="188" t="s">
        <v>949</v>
      </c>
      <c r="E14" s="192" t="s">
        <v>264</v>
      </c>
      <c r="F14" s="193" t="s">
        <v>90</v>
      </c>
      <c r="G14" s="193" t="s">
        <v>184</v>
      </c>
      <c r="H14" s="193" t="s">
        <v>137</v>
      </c>
      <c r="I14" s="193" t="s">
        <v>131</v>
      </c>
      <c r="J14" s="195">
        <v>1381311.39</v>
      </c>
      <c r="K14" s="195">
        <v>800000</v>
      </c>
    </row>
    <row r="15" spans="1:11" ht="22.5">
      <c r="A15" s="196">
        <v>30100146</v>
      </c>
      <c r="B15" s="189" t="s">
        <v>27</v>
      </c>
      <c r="C15" s="189" t="s">
        <v>644</v>
      </c>
      <c r="D15" s="188" t="s">
        <v>949</v>
      </c>
      <c r="E15" s="192" t="s">
        <v>258</v>
      </c>
      <c r="F15" s="193" t="s">
        <v>86</v>
      </c>
      <c r="G15" s="197" t="s">
        <v>184</v>
      </c>
      <c r="H15" s="193" t="s">
        <v>221</v>
      </c>
      <c r="I15" s="193" t="s">
        <v>957</v>
      </c>
      <c r="J15" s="195">
        <v>2404905</v>
      </c>
      <c r="K15" s="195">
        <v>253950</v>
      </c>
    </row>
    <row r="16" spans="1:11" ht="22.5">
      <c r="A16" s="191"/>
      <c r="B16" s="189" t="s">
        <v>27</v>
      </c>
      <c r="C16" s="189" t="s">
        <v>630</v>
      </c>
      <c r="D16" s="188" t="s">
        <v>949</v>
      </c>
      <c r="E16" s="192" t="s">
        <v>631</v>
      </c>
      <c r="F16" s="193" t="s">
        <v>102</v>
      </c>
      <c r="G16" s="197" t="s">
        <v>209</v>
      </c>
      <c r="H16" s="193" t="s">
        <v>633</v>
      </c>
      <c r="I16" s="193" t="s">
        <v>131</v>
      </c>
      <c r="J16" s="195">
        <v>3500000</v>
      </c>
      <c r="K16" s="195">
        <v>3500000</v>
      </c>
    </row>
    <row r="17" spans="1:11" ht="22.5">
      <c r="A17" s="188">
        <v>40004931</v>
      </c>
      <c r="B17" s="189" t="s">
        <v>27</v>
      </c>
      <c r="C17" s="189" t="s">
        <v>965</v>
      </c>
      <c r="D17" s="188" t="s">
        <v>966</v>
      </c>
      <c r="E17" s="192" t="s">
        <v>967</v>
      </c>
      <c r="F17" s="193" t="s">
        <v>102</v>
      </c>
      <c r="G17" s="197" t="s">
        <v>133</v>
      </c>
      <c r="H17" s="193" t="s">
        <v>328</v>
      </c>
      <c r="I17" s="193" t="s">
        <v>131</v>
      </c>
      <c r="J17" s="195">
        <v>566228</v>
      </c>
      <c r="K17" s="195">
        <v>41572</v>
      </c>
    </row>
    <row r="18" spans="1:11" ht="33.75">
      <c r="A18" s="188">
        <v>40008020</v>
      </c>
      <c r="B18" s="189" t="s">
        <v>27</v>
      </c>
      <c r="C18" s="189" t="s">
        <v>968</v>
      </c>
      <c r="D18" s="188" t="s">
        <v>966</v>
      </c>
      <c r="E18" s="192" t="s">
        <v>969</v>
      </c>
      <c r="F18" s="193" t="s">
        <v>102</v>
      </c>
      <c r="G18" s="197" t="s">
        <v>184</v>
      </c>
      <c r="H18" s="193" t="s">
        <v>970</v>
      </c>
      <c r="I18" s="193" t="s">
        <v>131</v>
      </c>
      <c r="J18" s="195">
        <v>4020000</v>
      </c>
      <c r="K18" s="195">
        <v>789061</v>
      </c>
    </row>
    <row r="19" spans="1:11" ht="22.5">
      <c r="A19" s="188">
        <v>40010437</v>
      </c>
      <c r="B19" s="189" t="s">
        <v>27</v>
      </c>
      <c r="C19" s="189" t="s">
        <v>971</v>
      </c>
      <c r="D19" s="188" t="s">
        <v>966</v>
      </c>
      <c r="E19" s="192" t="s">
        <v>972</v>
      </c>
      <c r="F19" s="193" t="s">
        <v>102</v>
      </c>
      <c r="G19" s="197" t="s">
        <v>335</v>
      </c>
      <c r="H19" s="193" t="s">
        <v>973</v>
      </c>
      <c r="I19" s="193" t="s">
        <v>131</v>
      </c>
      <c r="J19" s="195">
        <v>2547662</v>
      </c>
      <c r="K19" s="195">
        <v>115487</v>
      </c>
    </row>
    <row r="20" spans="1:11" ht="22.5">
      <c r="A20" s="188">
        <v>40006127</v>
      </c>
      <c r="B20" s="189" t="s">
        <v>27</v>
      </c>
      <c r="C20" s="189" t="s">
        <v>974</v>
      </c>
      <c r="D20" s="188" t="s">
        <v>966</v>
      </c>
      <c r="E20" s="192" t="s">
        <v>975</v>
      </c>
      <c r="F20" s="193" t="s">
        <v>102</v>
      </c>
      <c r="G20" s="197" t="s">
        <v>133</v>
      </c>
      <c r="H20" s="193" t="s">
        <v>976</v>
      </c>
      <c r="I20" s="193" t="s">
        <v>170</v>
      </c>
      <c r="J20" s="195">
        <v>940001</v>
      </c>
      <c r="K20" s="195">
        <v>131549</v>
      </c>
    </row>
    <row r="21" spans="1:11" ht="22.5">
      <c r="A21" s="188">
        <v>40019817</v>
      </c>
      <c r="B21" s="189" t="s">
        <v>27</v>
      </c>
      <c r="C21" s="189" t="s">
        <v>397</v>
      </c>
      <c r="D21" s="188" t="s">
        <v>966</v>
      </c>
      <c r="E21" s="192" t="s">
        <v>303</v>
      </c>
      <c r="F21" s="193" t="s">
        <v>102</v>
      </c>
      <c r="G21" s="197" t="s">
        <v>133</v>
      </c>
      <c r="H21" s="193" t="s">
        <v>305</v>
      </c>
      <c r="I21" s="193" t="s">
        <v>131</v>
      </c>
      <c r="J21" s="195">
        <v>3240000</v>
      </c>
      <c r="K21" s="195">
        <v>1200000</v>
      </c>
    </row>
    <row r="22" spans="1:11" ht="33.75">
      <c r="A22" s="188">
        <v>40014432</v>
      </c>
      <c r="B22" s="189" t="s">
        <v>27</v>
      </c>
      <c r="C22" s="189" t="s">
        <v>411</v>
      </c>
      <c r="D22" s="188" t="s">
        <v>966</v>
      </c>
      <c r="E22" s="192" t="s">
        <v>977</v>
      </c>
      <c r="F22" s="193" t="s">
        <v>102</v>
      </c>
      <c r="G22" s="197" t="s">
        <v>146</v>
      </c>
      <c r="H22" s="193" t="s">
        <v>978</v>
      </c>
      <c r="I22" s="193" t="s">
        <v>131</v>
      </c>
      <c r="J22" s="195">
        <v>3488542</v>
      </c>
      <c r="K22" s="195">
        <v>535287</v>
      </c>
    </row>
    <row r="23" spans="1:11" ht="22.5">
      <c r="A23" s="188">
        <v>40024788</v>
      </c>
      <c r="B23" s="189" t="s">
        <v>27</v>
      </c>
      <c r="C23" s="189" t="s">
        <v>413</v>
      </c>
      <c r="D23" s="188" t="s">
        <v>966</v>
      </c>
      <c r="E23" s="192" t="s">
        <v>979</v>
      </c>
      <c r="F23" s="193" t="s">
        <v>102</v>
      </c>
      <c r="G23" s="197" t="s">
        <v>133</v>
      </c>
      <c r="H23" s="193" t="s">
        <v>340</v>
      </c>
      <c r="I23" s="193" t="s">
        <v>131</v>
      </c>
      <c r="J23" s="195">
        <v>2009200</v>
      </c>
      <c r="K23" s="195">
        <v>800000</v>
      </c>
    </row>
    <row r="24" spans="1:11" ht="22.5">
      <c r="A24" s="188">
        <v>40009309</v>
      </c>
      <c r="B24" s="189" t="s">
        <v>27</v>
      </c>
      <c r="C24" s="189" t="s">
        <v>415</v>
      </c>
      <c r="D24" s="188" t="s">
        <v>966</v>
      </c>
      <c r="E24" s="192" t="s">
        <v>980</v>
      </c>
      <c r="F24" s="193" t="s">
        <v>102</v>
      </c>
      <c r="G24" s="197" t="s">
        <v>308</v>
      </c>
      <c r="H24" s="193" t="s">
        <v>309</v>
      </c>
      <c r="I24" s="193" t="s">
        <v>957</v>
      </c>
      <c r="J24" s="195">
        <v>1000000</v>
      </c>
      <c r="K24" s="195">
        <v>500000</v>
      </c>
    </row>
    <row r="25" spans="1:11" ht="22.5">
      <c r="A25" s="188">
        <v>40024839</v>
      </c>
      <c r="B25" s="189" t="s">
        <v>27</v>
      </c>
      <c r="C25" s="189" t="s">
        <v>421</v>
      </c>
      <c r="D25" s="188" t="s">
        <v>966</v>
      </c>
      <c r="E25" s="192" t="s">
        <v>981</v>
      </c>
      <c r="F25" s="193" t="s">
        <v>102</v>
      </c>
      <c r="G25" s="197" t="s">
        <v>402</v>
      </c>
      <c r="H25" s="193" t="s">
        <v>346</v>
      </c>
      <c r="I25" s="193" t="s">
        <v>957</v>
      </c>
      <c r="J25" s="195">
        <v>349800</v>
      </c>
      <c r="K25" s="195">
        <v>250000</v>
      </c>
    </row>
    <row r="26" spans="1:11" ht="22.5">
      <c r="A26" s="188">
        <v>40000006</v>
      </c>
      <c r="B26" s="189" t="s">
        <v>27</v>
      </c>
      <c r="C26" s="189" t="s">
        <v>982</v>
      </c>
      <c r="D26" s="188" t="s">
        <v>966</v>
      </c>
      <c r="E26" s="192" t="s">
        <v>983</v>
      </c>
      <c r="F26" s="193" t="s">
        <v>102</v>
      </c>
      <c r="G26" s="197" t="s">
        <v>308</v>
      </c>
      <c r="H26" s="193" t="s">
        <v>984</v>
      </c>
      <c r="I26" s="193" t="s">
        <v>131</v>
      </c>
      <c r="J26" s="195">
        <v>853400</v>
      </c>
      <c r="K26" s="195">
        <v>246093</v>
      </c>
    </row>
    <row r="27" spans="1:11" ht="45">
      <c r="A27" s="188">
        <v>30118718</v>
      </c>
      <c r="B27" s="189" t="s">
        <v>27</v>
      </c>
      <c r="C27" s="189" t="s">
        <v>985</v>
      </c>
      <c r="D27" s="188" t="s">
        <v>966</v>
      </c>
      <c r="E27" s="192" t="s">
        <v>295</v>
      </c>
      <c r="F27" s="193" t="s">
        <v>102</v>
      </c>
      <c r="G27" s="197" t="s">
        <v>133</v>
      </c>
      <c r="H27" s="193" t="s">
        <v>296</v>
      </c>
      <c r="I27" s="193" t="s">
        <v>131</v>
      </c>
      <c r="J27" s="195">
        <v>2371702</v>
      </c>
      <c r="K27" s="195">
        <v>889389</v>
      </c>
    </row>
    <row r="28" spans="1:11" ht="22.5">
      <c r="A28" s="188">
        <v>40010799</v>
      </c>
      <c r="B28" s="189" t="s">
        <v>27</v>
      </c>
      <c r="C28" s="189" t="s">
        <v>986</v>
      </c>
      <c r="D28" s="188" t="s">
        <v>966</v>
      </c>
      <c r="E28" s="192" t="s">
        <v>987</v>
      </c>
      <c r="F28" s="193" t="s">
        <v>102</v>
      </c>
      <c r="G28" s="197" t="s">
        <v>133</v>
      </c>
      <c r="H28" s="193" t="s">
        <v>305</v>
      </c>
      <c r="I28" s="193" t="s">
        <v>131</v>
      </c>
      <c r="J28" s="195">
        <v>3000000</v>
      </c>
      <c r="K28" s="195">
        <v>191000</v>
      </c>
    </row>
    <row r="29" spans="1:11" ht="45">
      <c r="A29" s="188">
        <v>40010406</v>
      </c>
      <c r="B29" s="189" t="s">
        <v>27</v>
      </c>
      <c r="C29" s="189" t="s">
        <v>988</v>
      </c>
      <c r="D29" s="188" t="s">
        <v>966</v>
      </c>
      <c r="E29" s="192" t="s">
        <v>989</v>
      </c>
      <c r="F29" s="193" t="s">
        <v>102</v>
      </c>
      <c r="G29" s="197" t="s">
        <v>274</v>
      </c>
      <c r="H29" s="193" t="s">
        <v>333</v>
      </c>
      <c r="I29" s="193" t="s">
        <v>131</v>
      </c>
      <c r="J29" s="195">
        <v>763622.88</v>
      </c>
      <c r="K29" s="195">
        <v>378297</v>
      </c>
    </row>
    <row r="30" spans="1:11" ht="22.5">
      <c r="A30" s="188">
        <v>40009228</v>
      </c>
      <c r="B30" s="189" t="s">
        <v>27</v>
      </c>
      <c r="C30" s="189" t="s">
        <v>388</v>
      </c>
      <c r="D30" s="188" t="s">
        <v>966</v>
      </c>
      <c r="E30" s="192" t="s">
        <v>990</v>
      </c>
      <c r="F30" s="193" t="s">
        <v>102</v>
      </c>
      <c r="G30" s="197" t="s">
        <v>133</v>
      </c>
      <c r="H30" s="193" t="s">
        <v>991</v>
      </c>
      <c r="I30" s="193" t="s">
        <v>131</v>
      </c>
      <c r="J30" s="195">
        <v>1600001</v>
      </c>
      <c r="K30" s="195">
        <v>498822</v>
      </c>
    </row>
    <row r="31" spans="1:11" ht="22.5">
      <c r="A31" s="188">
        <v>40009951</v>
      </c>
      <c r="B31" s="189" t="s">
        <v>27</v>
      </c>
      <c r="C31" s="189" t="s">
        <v>391</v>
      </c>
      <c r="D31" s="188" t="s">
        <v>966</v>
      </c>
      <c r="E31" s="192" t="s">
        <v>992</v>
      </c>
      <c r="F31" s="193" t="s">
        <v>102</v>
      </c>
      <c r="G31" s="197" t="s">
        <v>133</v>
      </c>
      <c r="H31" s="193" t="s">
        <v>305</v>
      </c>
      <c r="I31" s="193" t="s">
        <v>131</v>
      </c>
      <c r="J31" s="195">
        <v>225719</v>
      </c>
      <c r="K31" s="195">
        <v>124013</v>
      </c>
    </row>
    <row r="32" spans="1:11" ht="22.5">
      <c r="A32" s="188">
        <v>40010558</v>
      </c>
      <c r="B32" s="189" t="s">
        <v>27</v>
      </c>
      <c r="C32" s="189" t="s">
        <v>400</v>
      </c>
      <c r="D32" s="188" t="s">
        <v>966</v>
      </c>
      <c r="E32" s="192" t="s">
        <v>993</v>
      </c>
      <c r="F32" s="193" t="s">
        <v>102</v>
      </c>
      <c r="G32" s="197" t="s">
        <v>133</v>
      </c>
      <c r="H32" s="193" t="s">
        <v>994</v>
      </c>
      <c r="I32" s="193" t="s">
        <v>995</v>
      </c>
      <c r="J32" s="195">
        <v>372780</v>
      </c>
      <c r="K32" s="195">
        <v>80000</v>
      </c>
    </row>
    <row r="33" spans="1:11" ht="22.5">
      <c r="A33" s="188">
        <v>40024825</v>
      </c>
      <c r="B33" s="189" t="s">
        <v>27</v>
      </c>
      <c r="C33" s="189" t="s">
        <v>403</v>
      </c>
      <c r="D33" s="188" t="s">
        <v>966</v>
      </c>
      <c r="E33" s="192" t="s">
        <v>996</v>
      </c>
      <c r="F33" s="193" t="s">
        <v>102</v>
      </c>
      <c r="G33" s="197" t="s">
        <v>133</v>
      </c>
      <c r="H33" s="193" t="s">
        <v>340</v>
      </c>
      <c r="I33" s="193" t="s">
        <v>131</v>
      </c>
      <c r="J33" s="195">
        <v>1267240</v>
      </c>
      <c r="K33" s="195">
        <v>636159</v>
      </c>
    </row>
    <row r="34" spans="1:11" ht="22.5">
      <c r="A34" s="188">
        <v>40014531</v>
      </c>
      <c r="B34" s="189" t="s">
        <v>27</v>
      </c>
      <c r="C34" s="189" t="s">
        <v>405</v>
      </c>
      <c r="D34" s="188" t="s">
        <v>966</v>
      </c>
      <c r="E34" s="192" t="s">
        <v>997</v>
      </c>
      <c r="F34" s="193" t="s">
        <v>102</v>
      </c>
      <c r="G34" s="197" t="s">
        <v>133</v>
      </c>
      <c r="H34" s="193" t="s">
        <v>326</v>
      </c>
      <c r="I34" s="193" t="s">
        <v>995</v>
      </c>
      <c r="J34" s="195">
        <v>300000</v>
      </c>
      <c r="K34" s="195">
        <v>150000</v>
      </c>
    </row>
    <row r="35" spans="1:11" ht="22.5">
      <c r="A35" s="188">
        <v>40014719</v>
      </c>
      <c r="B35" s="189" t="s">
        <v>27</v>
      </c>
      <c r="C35" s="189" t="s">
        <v>407</v>
      </c>
      <c r="D35" s="188" t="s">
        <v>966</v>
      </c>
      <c r="E35" s="192" t="s">
        <v>998</v>
      </c>
      <c r="F35" s="193" t="s">
        <v>102</v>
      </c>
      <c r="G35" s="197" t="s">
        <v>402</v>
      </c>
      <c r="H35" s="193" t="s">
        <v>346</v>
      </c>
      <c r="I35" s="193" t="s">
        <v>995</v>
      </c>
      <c r="J35" s="195">
        <v>400000</v>
      </c>
      <c r="K35" s="195">
        <v>255000</v>
      </c>
    </row>
    <row r="36" spans="1:11" ht="22.5">
      <c r="A36" s="188">
        <v>40014500</v>
      </c>
      <c r="B36" s="189" t="s">
        <v>27</v>
      </c>
      <c r="C36" s="189" t="s">
        <v>409</v>
      </c>
      <c r="D36" s="188" t="s">
        <v>966</v>
      </c>
      <c r="E36" s="192" t="s">
        <v>999</v>
      </c>
      <c r="F36" s="193" t="s">
        <v>102</v>
      </c>
      <c r="G36" s="197" t="s">
        <v>335</v>
      </c>
      <c r="H36" s="193" t="s">
        <v>1000</v>
      </c>
      <c r="I36" s="193" t="s">
        <v>957</v>
      </c>
      <c r="J36" s="195">
        <v>500000</v>
      </c>
      <c r="K36" s="195">
        <v>125000</v>
      </c>
    </row>
    <row r="37" spans="1:11" ht="22.5">
      <c r="A37" s="188">
        <v>40026857</v>
      </c>
      <c r="B37" s="189" t="s">
        <v>27</v>
      </c>
      <c r="C37" s="189" t="s">
        <v>1001</v>
      </c>
      <c r="D37" s="188" t="s">
        <v>966</v>
      </c>
      <c r="E37" s="192" t="s">
        <v>1002</v>
      </c>
      <c r="F37" s="193" t="s">
        <v>102</v>
      </c>
      <c r="G37" s="197" t="s">
        <v>133</v>
      </c>
      <c r="H37" s="193" t="s">
        <v>305</v>
      </c>
      <c r="I37" s="193" t="s">
        <v>957</v>
      </c>
      <c r="J37" s="195">
        <v>250000</v>
      </c>
      <c r="K37" s="195">
        <v>227000</v>
      </c>
    </row>
    <row r="38" spans="1:11" ht="22.5">
      <c r="A38" s="188">
        <v>30436632</v>
      </c>
      <c r="B38" s="189" t="s">
        <v>27</v>
      </c>
      <c r="C38" s="189" t="s">
        <v>1003</v>
      </c>
      <c r="D38" s="188" t="s">
        <v>966</v>
      </c>
      <c r="E38" s="192" t="s">
        <v>1004</v>
      </c>
      <c r="F38" s="193" t="s">
        <v>102</v>
      </c>
      <c r="G38" s="197" t="s">
        <v>402</v>
      </c>
      <c r="H38" s="197" t="s">
        <v>1005</v>
      </c>
      <c r="I38" s="193" t="s">
        <v>131</v>
      </c>
      <c r="J38" s="195">
        <v>60000</v>
      </c>
      <c r="K38" s="195">
        <v>2129</v>
      </c>
    </row>
    <row r="39" spans="1:11" ht="22.5">
      <c r="A39" s="188">
        <v>40001628</v>
      </c>
      <c r="B39" s="189" t="s">
        <v>27</v>
      </c>
      <c r="C39" s="189" t="s">
        <v>1006</v>
      </c>
      <c r="D39" s="188" t="s">
        <v>966</v>
      </c>
      <c r="E39" s="192" t="s">
        <v>1007</v>
      </c>
      <c r="F39" s="193" t="s">
        <v>102</v>
      </c>
      <c r="G39" s="197" t="s">
        <v>133</v>
      </c>
      <c r="H39" s="193" t="s">
        <v>305</v>
      </c>
      <c r="I39" s="193" t="s">
        <v>131</v>
      </c>
      <c r="J39" s="195">
        <v>600000</v>
      </c>
      <c r="K39" s="195">
        <v>1001</v>
      </c>
    </row>
    <row r="40" spans="1:11" ht="22.5">
      <c r="A40" s="188">
        <v>40014358</v>
      </c>
      <c r="B40" s="189" t="s">
        <v>27</v>
      </c>
      <c r="C40" s="189" t="s">
        <v>634</v>
      </c>
      <c r="D40" s="188" t="s">
        <v>966</v>
      </c>
      <c r="E40" s="192" t="s">
        <v>635</v>
      </c>
      <c r="F40" s="193" t="s">
        <v>102</v>
      </c>
      <c r="G40" s="197" t="s">
        <v>402</v>
      </c>
      <c r="H40" s="193" t="s">
        <v>319</v>
      </c>
      <c r="I40" s="193" t="s">
        <v>131</v>
      </c>
      <c r="J40" s="195">
        <v>69526</v>
      </c>
      <c r="K40" s="195">
        <v>7001</v>
      </c>
    </row>
    <row r="41" spans="1:11" ht="22.5">
      <c r="A41" s="188">
        <v>40014269</v>
      </c>
      <c r="B41" s="189" t="s">
        <v>27</v>
      </c>
      <c r="C41" s="189" t="s">
        <v>1008</v>
      </c>
      <c r="D41" s="188" t="s">
        <v>966</v>
      </c>
      <c r="E41" s="192" t="s">
        <v>297</v>
      </c>
      <c r="F41" s="193" t="s">
        <v>102</v>
      </c>
      <c r="G41" s="197" t="s">
        <v>184</v>
      </c>
      <c r="H41" s="193" t="s">
        <v>299</v>
      </c>
      <c r="I41" s="193" t="s">
        <v>131</v>
      </c>
      <c r="J41" s="195">
        <v>135000</v>
      </c>
      <c r="K41" s="195">
        <v>9100</v>
      </c>
    </row>
    <row r="42" spans="1:11" ht="45">
      <c r="A42" s="188">
        <v>40014467</v>
      </c>
      <c r="B42" s="189" t="s">
        <v>27</v>
      </c>
      <c r="C42" s="189" t="s">
        <v>1009</v>
      </c>
      <c r="D42" s="188" t="s">
        <v>966</v>
      </c>
      <c r="E42" s="192" t="s">
        <v>1010</v>
      </c>
      <c r="F42" s="193" t="s">
        <v>102</v>
      </c>
      <c r="G42" s="197" t="s">
        <v>274</v>
      </c>
      <c r="H42" s="193" t="s">
        <v>299</v>
      </c>
      <c r="I42" s="193" t="s">
        <v>131</v>
      </c>
      <c r="J42" s="195">
        <v>118776</v>
      </c>
      <c r="K42" s="195">
        <v>20800</v>
      </c>
    </row>
    <row r="43" spans="1:11" ht="22.5">
      <c r="A43" s="188">
        <v>40014502</v>
      </c>
      <c r="B43" s="189" t="s">
        <v>27</v>
      </c>
      <c r="C43" s="189" t="s">
        <v>1011</v>
      </c>
      <c r="D43" s="188" t="s">
        <v>966</v>
      </c>
      <c r="E43" s="192" t="s">
        <v>1012</v>
      </c>
      <c r="F43" s="193" t="s">
        <v>102</v>
      </c>
      <c r="G43" s="197" t="s">
        <v>184</v>
      </c>
      <c r="H43" s="193" t="s">
        <v>299</v>
      </c>
      <c r="I43" s="193" t="s">
        <v>131</v>
      </c>
      <c r="J43" s="195">
        <v>134985</v>
      </c>
      <c r="K43" s="195">
        <v>12810</v>
      </c>
    </row>
    <row r="44" spans="1:11" ht="22.5">
      <c r="A44" s="188">
        <v>40014503</v>
      </c>
      <c r="B44" s="189" t="s">
        <v>27</v>
      </c>
      <c r="C44" s="189" t="s">
        <v>1013</v>
      </c>
      <c r="D44" s="188" t="s">
        <v>966</v>
      </c>
      <c r="E44" s="192" t="s">
        <v>1014</v>
      </c>
      <c r="F44" s="193" t="s">
        <v>102</v>
      </c>
      <c r="G44" s="197" t="s">
        <v>133</v>
      </c>
      <c r="H44" s="193" t="s">
        <v>299</v>
      </c>
      <c r="I44" s="193" t="s">
        <v>131</v>
      </c>
      <c r="J44" s="195">
        <v>106960</v>
      </c>
      <c r="K44" s="195">
        <v>17347</v>
      </c>
    </row>
    <row r="45" spans="1:11" ht="22.5">
      <c r="A45" s="188">
        <v>40029266</v>
      </c>
      <c r="B45" s="189" t="s">
        <v>27</v>
      </c>
      <c r="C45" s="189" t="s">
        <v>418</v>
      </c>
      <c r="D45" s="188" t="s">
        <v>966</v>
      </c>
      <c r="E45" s="192" t="s">
        <v>310</v>
      </c>
      <c r="F45" s="193" t="s">
        <v>102</v>
      </c>
      <c r="G45" s="197" t="s">
        <v>133</v>
      </c>
      <c r="H45" s="193" t="s">
        <v>305</v>
      </c>
      <c r="I45" s="193" t="s">
        <v>957</v>
      </c>
      <c r="J45" s="195">
        <v>2800000</v>
      </c>
      <c r="K45" s="195">
        <v>900000</v>
      </c>
    </row>
    <row r="46" spans="1:11">
      <c r="A46" s="188" t="s">
        <v>209</v>
      </c>
      <c r="B46" s="189" t="s">
        <v>27</v>
      </c>
      <c r="C46" s="189"/>
      <c r="D46" s="188" t="s">
        <v>209</v>
      </c>
      <c r="E46" s="198" t="s">
        <v>1015</v>
      </c>
      <c r="F46" s="188" t="s">
        <v>102</v>
      </c>
      <c r="G46" s="199" t="s">
        <v>209</v>
      </c>
      <c r="H46" s="188" t="s">
        <v>209</v>
      </c>
      <c r="I46" s="188" t="s">
        <v>1016</v>
      </c>
      <c r="J46" s="195">
        <v>2791338</v>
      </c>
      <c r="K46" s="195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8C4B4E-C4BB-4C8C-AB18-345980158AF4}">
  <ds:schemaRefs>
    <ds:schemaRef ds:uri="http://purl.org/dc/dcmitype/"/>
    <ds:schemaRef ds:uri="http://purl.org/dc/elements/1.1/"/>
    <ds:schemaRef ds:uri="http://schemas.microsoft.com/office/2006/documentManagement/types"/>
    <ds:schemaRef ds:uri="bbbc94a7-4c97-4545-81ad-31eaee27b446"/>
    <ds:schemaRef ds:uri="http://schemas.openxmlformats.org/package/2006/metadata/core-properties"/>
    <ds:schemaRef ds:uri="1ea1518e-ef11-48d5-b358-c8520584f932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2025-08-20T17:00:34Z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