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nzalez\Downloads\Solicita publicación Glosa Presupuestaria 2025 GLOSA 16 N°2\"/>
    </mc:Choice>
  </mc:AlternateContent>
  <xr:revisionPtr revIDLastSave="0" documentId="13_ncr:1_{4B76139A-A666-4BAD-A260-A3AECB7BF875}" xr6:coauthVersionLast="47" xr6:coauthVersionMax="47" xr10:uidLastSave="{00000000-0000-0000-0000-000000000000}"/>
  <workbookProtection workbookAlgorithmName="SHA-512" workbookHashValue="dNlqME6YpzGQJPhehCa45knPWICnmT6b6j9CwGIJwZ/6ji5zjYsvin9Zhyk5qpDObyl9p/lrrdX3vydA7hmLsg==" workbookSaltValue="NJ/6ulQmCUMK8NabYwfasg==" workbookSpinCount="100000" lockStructure="1"/>
  <bookViews>
    <workbookView xWindow="28680" yWindow="-120" windowWidth="29040" windowHeight="15720" tabRatio="389" activeTab="2" xr2:uid="{00000000-000D-0000-FFFF-FFFF00000000}"/>
  </bookViews>
  <sheets>
    <sheet name="2025 RESUMEN" sheetId="15" r:id="rId1"/>
    <sheet name="2025 FNDR" sheetId="12" r:id="rId2"/>
    <sheet name="FRIL 2025" sheetId="25" r:id="rId3"/>
    <sheet name="Hoja1" sheetId="26" state="hidden" r:id="rId4"/>
    <sheet name="Hoja5" sheetId="30" state="hidden" r:id="rId5"/>
  </sheets>
  <definedNames>
    <definedName name="\a" localSheetId="2">#REF!</definedName>
    <definedName name="\a">#REF!</definedName>
    <definedName name="\x" localSheetId="2">#REF!</definedName>
    <definedName name="\x">#REF!</definedName>
    <definedName name="\z" localSheetId="2">#REF!</definedName>
    <definedName name="\z">#REF!</definedName>
    <definedName name="__mes1" localSheetId="2">#REF!</definedName>
    <definedName name="__mes1">#REF!</definedName>
    <definedName name="_xlnm._FilterDatabase" localSheetId="1" hidden="1">'2025 FNDR'!$A$4:$AB$458</definedName>
    <definedName name="_xlnm._FilterDatabase" localSheetId="2" hidden="1">'FRIL 2025'!$A$2:$U$51</definedName>
    <definedName name="_mes1" localSheetId="2">#REF!</definedName>
    <definedName name="_mes1">#REF!</definedName>
    <definedName name="ANDACOLLO">#REF!</definedName>
    <definedName name="año" localSheetId="2">#REF!</definedName>
    <definedName name="año">#REF!</definedName>
    <definedName name="_xlnm.Print_Area" localSheetId="1">'2025 FNDR'!$A$1:$AH$102</definedName>
    <definedName name="CANELA">#REF!</definedName>
    <definedName name="COMBARBALÁ">#REF!</definedName>
    <definedName name="COQUIMBO">#REF!</definedName>
    <definedName name="Dic" localSheetId="2">#REF!</definedName>
    <definedName name="Dic">#REF!</definedName>
    <definedName name="dici" localSheetId="2">#REF!</definedName>
    <definedName name="dici">#REF!</definedName>
    <definedName name="Dicie" localSheetId="2">#REF!</definedName>
    <definedName name="Dicie">#REF!</definedName>
    <definedName name="diciem" localSheetId="2">#REF!</definedName>
    <definedName name="diciem">#REF!</definedName>
    <definedName name="diciemb" localSheetId="2">#REF!</definedName>
    <definedName name="diciemb">#REF!</definedName>
    <definedName name="ESTADOS">#REF!</definedName>
    <definedName name="ILLAPEL">#REF!</definedName>
    <definedName name="LA_HIGUERA">#REF!</definedName>
    <definedName name="LA_SERENA">#REF!</definedName>
    <definedName name="LOS_VILOS">#REF!</definedName>
    <definedName name="mes" localSheetId="2">#REF!</definedName>
    <definedName name="mes">#REF!</definedName>
    <definedName name="MONTE_PATRIA">#REF!</definedName>
    <definedName name="nose" localSheetId="2">#REF!</definedName>
    <definedName name="nose">#REF!</definedName>
    <definedName name="nov" localSheetId="2">#REF!</definedName>
    <definedName name="nov">#REF!</definedName>
    <definedName name="OVALLE">#REF!</definedName>
    <definedName name="PAIHUANO">#REF!</definedName>
    <definedName name="PROVINCIAL_CHOAPA">#REF!</definedName>
    <definedName name="PROVINCIAL_ELQUI">#REF!</definedName>
    <definedName name="PROVINCIAL_LIMARÍ">#REF!</definedName>
    <definedName name="PUNITAQUI">#REF!</definedName>
    <definedName name="REGIONAL">#REF!</definedName>
    <definedName name="RÍO_HURTADO">#REF!</definedName>
    <definedName name="SALAMANCA">#REF!</definedName>
    <definedName name="septi" localSheetId="2">#REF!</definedName>
    <definedName name="septi">#REF!</definedName>
    <definedName name="septiembre" localSheetId="2">#REF!</definedName>
    <definedName name="septiembre">#REF!</definedName>
    <definedName name="SINO">#REF!</definedName>
    <definedName name="VICUÑA">#REF!</definedName>
    <definedName name="xxxxx" localSheetId="2">#REF!</definedName>
    <definedName name="x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" i="15" l="1"/>
  <c r="M88" i="15"/>
  <c r="M89" i="15"/>
  <c r="M90" i="15"/>
  <c r="M86" i="15"/>
  <c r="M80" i="15"/>
  <c r="M81" i="15"/>
  <c r="M82" i="15"/>
  <c r="M83" i="15"/>
  <c r="M84" i="15"/>
  <c r="M79" i="15"/>
  <c r="M72" i="15"/>
  <c r="M73" i="15"/>
  <c r="M74" i="15"/>
  <c r="M75" i="15"/>
  <c r="M76" i="15"/>
  <c r="M77" i="15"/>
  <c r="M71" i="15"/>
  <c r="N3" i="12" l="1"/>
  <c r="P364" i="12"/>
  <c r="P362" i="12"/>
  <c r="P360" i="12"/>
  <c r="P358" i="12"/>
  <c r="P357" i="12"/>
  <c r="P356" i="12"/>
  <c r="P355" i="12"/>
  <c r="P354" i="12"/>
  <c r="P353" i="12"/>
  <c r="P352" i="12"/>
  <c r="P351" i="12"/>
  <c r="G10" i="15"/>
  <c r="G14" i="15"/>
  <c r="T44" i="15" l="1"/>
  <c r="M92" i="15"/>
  <c r="F10" i="15"/>
  <c r="F9" i="15" s="1"/>
  <c r="F23" i="15"/>
  <c r="F14" i="15"/>
  <c r="O54" i="25" l="1"/>
  <c r="P54" i="25"/>
  <c r="Q54" i="25"/>
  <c r="R54" i="25"/>
  <c r="S54" i="25"/>
  <c r="T54" i="25"/>
  <c r="O55" i="25"/>
  <c r="P55" i="25"/>
  <c r="Q55" i="25"/>
  <c r="R55" i="25"/>
  <c r="S55" i="25"/>
  <c r="T55" i="25"/>
  <c r="T60" i="25" s="1"/>
  <c r="O56" i="25"/>
  <c r="P56" i="25"/>
  <c r="Q56" i="25"/>
  <c r="R56" i="25"/>
  <c r="S56" i="25"/>
  <c r="T56" i="25"/>
  <c r="O57" i="25"/>
  <c r="P57" i="25"/>
  <c r="Q57" i="25"/>
  <c r="R57" i="25"/>
  <c r="S57" i="25"/>
  <c r="T57" i="25"/>
  <c r="O58" i="25"/>
  <c r="P58" i="25"/>
  <c r="Q58" i="25"/>
  <c r="R58" i="25"/>
  <c r="S58" i="25"/>
  <c r="T58" i="25"/>
  <c r="O59" i="25"/>
  <c r="O60" i="25" s="1"/>
  <c r="P59" i="25"/>
  <c r="Q59" i="25"/>
  <c r="R59" i="25"/>
  <c r="S59" i="25"/>
  <c r="T59" i="25"/>
  <c r="P60" i="25"/>
  <c r="Q60" i="25"/>
  <c r="R60" i="25"/>
  <c r="S60" i="25"/>
  <c r="O61" i="25"/>
  <c r="P61" i="25"/>
  <c r="Q61" i="25"/>
  <c r="R61" i="25"/>
  <c r="S61" i="25"/>
  <c r="T61" i="25"/>
  <c r="T66" i="25" s="1"/>
  <c r="O62" i="25"/>
  <c r="P62" i="25"/>
  <c r="Q62" i="25"/>
  <c r="R62" i="25"/>
  <c r="S62" i="25"/>
  <c r="T62" i="25"/>
  <c r="O63" i="25"/>
  <c r="O66" i="25" s="1"/>
  <c r="P63" i="25"/>
  <c r="Q63" i="25"/>
  <c r="R63" i="25"/>
  <c r="S63" i="25"/>
  <c r="T63" i="25"/>
  <c r="O64" i="25"/>
  <c r="P64" i="25"/>
  <c r="Q64" i="25"/>
  <c r="R64" i="25"/>
  <c r="S64" i="25"/>
  <c r="T64" i="25"/>
  <c r="O65" i="25"/>
  <c r="P65" i="25"/>
  <c r="P66" i="25" s="1"/>
  <c r="Q65" i="25"/>
  <c r="Q66" i="25" s="1"/>
  <c r="R65" i="25"/>
  <c r="R66" i="25" s="1"/>
  <c r="S65" i="25"/>
  <c r="S66" i="25" s="1"/>
  <c r="T65" i="25"/>
  <c r="O67" i="25"/>
  <c r="P67" i="25"/>
  <c r="Q67" i="25"/>
  <c r="R67" i="25"/>
  <c r="S67" i="25"/>
  <c r="T67" i="25"/>
  <c r="T71" i="25" s="1"/>
  <c r="O68" i="25"/>
  <c r="P68" i="25"/>
  <c r="Q68" i="25"/>
  <c r="R68" i="25"/>
  <c r="S68" i="25"/>
  <c r="T68" i="25"/>
  <c r="O69" i="25"/>
  <c r="O71" i="25" s="1"/>
  <c r="P69" i="25"/>
  <c r="P71" i="25" s="1"/>
  <c r="Q69" i="25"/>
  <c r="R69" i="25"/>
  <c r="R71" i="25" s="1"/>
  <c r="S69" i="25"/>
  <c r="T69" i="25"/>
  <c r="O70" i="25"/>
  <c r="P70" i="25"/>
  <c r="Q70" i="25"/>
  <c r="R70" i="25"/>
  <c r="S70" i="25"/>
  <c r="T70" i="25"/>
  <c r="Q71" i="25"/>
  <c r="S71" i="25"/>
  <c r="J60" i="25"/>
  <c r="J67" i="25"/>
  <c r="K67" i="25"/>
  <c r="L67" i="25"/>
  <c r="M67" i="25"/>
  <c r="N67" i="25"/>
  <c r="J68" i="25"/>
  <c r="K68" i="25"/>
  <c r="L68" i="25"/>
  <c r="M68" i="25"/>
  <c r="N68" i="25"/>
  <c r="J69" i="25"/>
  <c r="K69" i="25"/>
  <c r="L69" i="25"/>
  <c r="M69" i="25"/>
  <c r="N69" i="25"/>
  <c r="J70" i="25"/>
  <c r="K70" i="25"/>
  <c r="L70" i="25"/>
  <c r="M70" i="25"/>
  <c r="N70" i="25"/>
  <c r="I68" i="25"/>
  <c r="I69" i="25"/>
  <c r="I70" i="25"/>
  <c r="I67" i="25"/>
  <c r="I62" i="25"/>
  <c r="J62" i="25"/>
  <c r="K62" i="25"/>
  <c r="L62" i="25"/>
  <c r="M62" i="25"/>
  <c r="N62" i="25"/>
  <c r="I63" i="25"/>
  <c r="J63" i="25"/>
  <c r="K63" i="25"/>
  <c r="L63" i="25"/>
  <c r="M63" i="25"/>
  <c r="N63" i="25"/>
  <c r="I64" i="25"/>
  <c r="J64" i="25"/>
  <c r="K64" i="25"/>
  <c r="L64" i="25"/>
  <c r="M64" i="25"/>
  <c r="N64" i="25"/>
  <c r="I65" i="25"/>
  <c r="J65" i="25"/>
  <c r="K65" i="25"/>
  <c r="L65" i="25"/>
  <c r="M65" i="25"/>
  <c r="N65" i="25"/>
  <c r="J61" i="25"/>
  <c r="K61" i="25"/>
  <c r="L61" i="25"/>
  <c r="M61" i="25"/>
  <c r="N61" i="25"/>
  <c r="I61" i="25"/>
  <c r="I56" i="25"/>
  <c r="J56" i="25"/>
  <c r="K56" i="25"/>
  <c r="L56" i="25"/>
  <c r="M56" i="25"/>
  <c r="N56" i="25"/>
  <c r="I57" i="25"/>
  <c r="J57" i="25"/>
  <c r="K57" i="25"/>
  <c r="L57" i="25"/>
  <c r="M57" i="25"/>
  <c r="N57" i="25"/>
  <c r="I58" i="25"/>
  <c r="J58" i="25"/>
  <c r="K58" i="25"/>
  <c r="L58" i="25"/>
  <c r="M58" i="25"/>
  <c r="N58" i="25"/>
  <c r="I59" i="25"/>
  <c r="J59" i="25"/>
  <c r="K59" i="25"/>
  <c r="L59" i="25"/>
  <c r="M59" i="25"/>
  <c r="N59" i="25"/>
  <c r="J55" i="25"/>
  <c r="K55" i="25"/>
  <c r="L55" i="25"/>
  <c r="M55" i="25"/>
  <c r="N55" i="25"/>
  <c r="I55" i="25"/>
  <c r="N54" i="25"/>
  <c r="J54" i="25"/>
  <c r="K54" i="25"/>
  <c r="L54" i="25"/>
  <c r="M54" i="25"/>
  <c r="I54" i="25"/>
  <c r="J1" i="25"/>
  <c r="K1" i="25"/>
  <c r="L1" i="25"/>
  <c r="M1" i="25"/>
  <c r="N1" i="25"/>
  <c r="O1" i="25"/>
  <c r="P1" i="25"/>
  <c r="Q1" i="25"/>
  <c r="R1" i="25"/>
  <c r="S1" i="25"/>
  <c r="T1" i="25"/>
  <c r="I1" i="25"/>
  <c r="V334" i="12"/>
  <c r="U49" i="25"/>
  <c r="U50" i="25"/>
  <c r="U51" i="25"/>
  <c r="U48" i="25" l="1"/>
  <c r="G34" i="15" l="1"/>
  <c r="O3" i="12"/>
  <c r="L92" i="15"/>
  <c r="L90" i="15"/>
  <c r="L89" i="15"/>
  <c r="L88" i="15"/>
  <c r="L87" i="15"/>
  <c r="L86" i="15"/>
  <c r="L84" i="15"/>
  <c r="L83" i="15"/>
  <c r="L82" i="15"/>
  <c r="L81" i="15"/>
  <c r="L80" i="15"/>
  <c r="L79" i="15"/>
  <c r="L77" i="15"/>
  <c r="L76" i="15"/>
  <c r="L75" i="15"/>
  <c r="L74" i="15"/>
  <c r="L73" i="15"/>
  <c r="L72" i="15"/>
  <c r="L71" i="15"/>
  <c r="L7" i="15"/>
  <c r="L8" i="15"/>
  <c r="L10" i="15"/>
  <c r="L12" i="15"/>
  <c r="L13" i="15"/>
  <c r="L15" i="15"/>
  <c r="L16" i="15"/>
  <c r="L17" i="15"/>
  <c r="L18" i="15"/>
  <c r="L19" i="15"/>
  <c r="L14" i="15"/>
  <c r="K14" i="15"/>
  <c r="L24" i="15"/>
  <c r="K24" i="15"/>
  <c r="L22" i="15"/>
  <c r="K22" i="15"/>
  <c r="L23" i="15"/>
  <c r="U334" i="12"/>
  <c r="L34" i="15" s="1"/>
  <c r="U47" i="25"/>
  <c r="U45" i="25"/>
  <c r="U46" i="25"/>
  <c r="L6" i="15" l="1"/>
  <c r="G5" i="15" l="1"/>
  <c r="F36" i="15"/>
  <c r="K7" i="15"/>
  <c r="K8" i="15"/>
  <c r="K33" i="15"/>
  <c r="K32" i="15"/>
  <c r="J32" i="15"/>
  <c r="J33" i="15"/>
  <c r="K23" i="15"/>
  <c r="P343" i="12"/>
  <c r="E121" i="15" s="1"/>
  <c r="U38" i="25"/>
  <c r="U39" i="25"/>
  <c r="U40" i="25"/>
  <c r="U41" i="25"/>
  <c r="U42" i="25"/>
  <c r="U43" i="25"/>
  <c r="Q3" i="12"/>
  <c r="U23" i="25"/>
  <c r="G33" i="15"/>
  <c r="G32" i="15"/>
  <c r="G23" i="15"/>
  <c r="G24" i="15"/>
  <c r="G22" i="15"/>
  <c r="G19" i="15"/>
  <c r="G13" i="15"/>
  <c r="G15" i="15"/>
  <c r="G16" i="15"/>
  <c r="G17" i="15"/>
  <c r="G18" i="15"/>
  <c r="G12" i="15"/>
  <c r="G8" i="15"/>
  <c r="G7" i="15"/>
  <c r="G37" i="15"/>
  <c r="G36" i="15" s="1"/>
  <c r="G26" i="15"/>
  <c r="G9" i="15"/>
  <c r="K60" i="25" l="1"/>
  <c r="G31" i="15"/>
  <c r="G21" i="15"/>
  <c r="G11" i="15"/>
  <c r="G6" i="15"/>
  <c r="G41" i="15" l="1"/>
  <c r="G40" i="15"/>
  <c r="J8" i="15"/>
  <c r="J7" i="15"/>
  <c r="T334" i="12"/>
  <c r="K34" i="15" s="1"/>
  <c r="S334" i="12"/>
  <c r="U44" i="25"/>
  <c r="U34" i="25"/>
  <c r="J72" i="15"/>
  <c r="J73" i="15"/>
  <c r="J74" i="15"/>
  <c r="J75" i="15"/>
  <c r="J76" i="15"/>
  <c r="J77" i="15"/>
  <c r="J71" i="15"/>
  <c r="I87" i="15"/>
  <c r="I88" i="15"/>
  <c r="I89" i="15"/>
  <c r="I90" i="15"/>
  <c r="I86" i="15"/>
  <c r="I80" i="15"/>
  <c r="I81" i="15"/>
  <c r="I82" i="15"/>
  <c r="I83" i="15"/>
  <c r="I84" i="15"/>
  <c r="I79" i="15"/>
  <c r="I72" i="15"/>
  <c r="I73" i="15"/>
  <c r="I74" i="15"/>
  <c r="I75" i="15"/>
  <c r="I76" i="15"/>
  <c r="I77" i="15"/>
  <c r="I71" i="15"/>
  <c r="I92" i="15"/>
  <c r="H37" i="15" l="1"/>
  <c r="I7" i="15"/>
  <c r="I37" i="15"/>
  <c r="F39" i="15"/>
  <c r="F32" i="15"/>
  <c r="F22" i="15"/>
  <c r="F7" i="15"/>
  <c r="J34" i="15"/>
  <c r="J23" i="15"/>
  <c r="J24" i="15"/>
  <c r="J22" i="15"/>
  <c r="J13" i="15"/>
  <c r="J14" i="15"/>
  <c r="J15" i="15"/>
  <c r="J16" i="15"/>
  <c r="J17" i="15"/>
  <c r="J18" i="15"/>
  <c r="J19" i="15"/>
  <c r="J12" i="15"/>
  <c r="J10" i="15"/>
  <c r="I12" i="15"/>
  <c r="I33" i="15"/>
  <c r="I32" i="15"/>
  <c r="I23" i="15"/>
  <c r="I24" i="15"/>
  <c r="I22" i="15"/>
  <c r="I18" i="15"/>
  <c r="I19" i="15"/>
  <c r="I14" i="15"/>
  <c r="I15" i="15"/>
  <c r="I16" i="15"/>
  <c r="I17" i="15"/>
  <c r="I13" i="15"/>
  <c r="I8" i="15"/>
  <c r="U3" i="25"/>
  <c r="U4" i="25"/>
  <c r="U5" i="25"/>
  <c r="U6" i="25"/>
  <c r="U7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4" i="25"/>
  <c r="U25" i="25"/>
  <c r="U26" i="25"/>
  <c r="U28" i="25"/>
  <c r="U29" i="25"/>
  <c r="U30" i="25"/>
  <c r="U31" i="25"/>
  <c r="U32" i="25"/>
  <c r="U33" i="25"/>
  <c r="P170" i="12"/>
  <c r="P171" i="12"/>
  <c r="J11" i="15" l="1"/>
  <c r="P455" i="12"/>
  <c r="P456" i="12"/>
  <c r="P457" i="12"/>
  <c r="P458" i="12"/>
  <c r="P449" i="12"/>
  <c r="P450" i="12"/>
  <c r="P451" i="12"/>
  <c r="P452" i="12"/>
  <c r="P453" i="12"/>
  <c r="P454" i="12"/>
  <c r="P448" i="12"/>
  <c r="S3" i="12"/>
  <c r="T3" i="12"/>
  <c r="U3" i="12"/>
  <c r="V3" i="12"/>
  <c r="W3" i="12"/>
  <c r="X3" i="12"/>
  <c r="Y3" i="12"/>
  <c r="Z3" i="12"/>
  <c r="AA3" i="12"/>
  <c r="AB3" i="12"/>
  <c r="H68" i="25" l="1"/>
  <c r="H69" i="25"/>
  <c r="H70" i="25"/>
  <c r="H67" i="25"/>
  <c r="H62" i="25"/>
  <c r="H63" i="25"/>
  <c r="H64" i="25"/>
  <c r="H65" i="25"/>
  <c r="H61" i="25"/>
  <c r="H59" i="25"/>
  <c r="H58" i="25"/>
  <c r="H57" i="25"/>
  <c r="H55" i="25"/>
  <c r="H56" i="25"/>
  <c r="H54" i="25"/>
  <c r="P446" i="12"/>
  <c r="S87" i="15"/>
  <c r="S88" i="15"/>
  <c r="S89" i="15"/>
  <c r="S90" i="15"/>
  <c r="S86" i="15"/>
  <c r="S80" i="15"/>
  <c r="S81" i="15"/>
  <c r="S82" i="15"/>
  <c r="S83" i="15"/>
  <c r="S84" i="15"/>
  <c r="S79" i="15"/>
  <c r="S77" i="15"/>
  <c r="S72" i="15"/>
  <c r="S73" i="15"/>
  <c r="S74" i="15"/>
  <c r="S75" i="15"/>
  <c r="S76" i="15"/>
  <c r="S71" i="15"/>
  <c r="R71" i="15"/>
  <c r="S33" i="15"/>
  <c r="S32" i="15"/>
  <c r="S24" i="15"/>
  <c r="S22" i="15"/>
  <c r="S19" i="15"/>
  <c r="S18" i="15"/>
  <c r="S17" i="15"/>
  <c r="S16" i="15"/>
  <c r="S15" i="15"/>
  <c r="S14" i="15"/>
  <c r="S13" i="15"/>
  <c r="S12" i="15"/>
  <c r="S10" i="15"/>
  <c r="S8" i="15"/>
  <c r="S7" i="15"/>
  <c r="S5" i="15"/>
  <c r="P447" i="12"/>
  <c r="P445" i="12"/>
  <c r="P444" i="12"/>
  <c r="P443" i="12"/>
  <c r="P442" i="12"/>
  <c r="P441" i="12"/>
  <c r="P440" i="12"/>
  <c r="P439" i="12"/>
  <c r="P438" i="12"/>
  <c r="P436" i="12"/>
  <c r="P437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155" i="12"/>
  <c r="P156" i="12"/>
  <c r="P157" i="12"/>
  <c r="P158" i="12"/>
  <c r="P159" i="12"/>
  <c r="P160" i="12"/>
  <c r="P161" i="12"/>
  <c r="P162" i="12"/>
  <c r="P163" i="12"/>
  <c r="P164" i="12"/>
  <c r="P165" i="12"/>
  <c r="P166" i="12"/>
  <c r="P167" i="12"/>
  <c r="P168" i="12"/>
  <c r="P169" i="12"/>
  <c r="P172" i="12"/>
  <c r="P173" i="12"/>
  <c r="P174" i="12"/>
  <c r="P175" i="12"/>
  <c r="P176" i="12"/>
  <c r="P177" i="12"/>
  <c r="P178" i="12"/>
  <c r="P179" i="12"/>
  <c r="P180" i="12"/>
  <c r="P181" i="12"/>
  <c r="P182" i="12"/>
  <c r="P183" i="12"/>
  <c r="P184" i="12"/>
  <c r="P185" i="12"/>
  <c r="P186" i="12"/>
  <c r="P187" i="12"/>
  <c r="P188" i="12"/>
  <c r="P189" i="12"/>
  <c r="P190" i="12"/>
  <c r="P191" i="12"/>
  <c r="P192" i="12"/>
  <c r="P193" i="12"/>
  <c r="P194" i="12"/>
  <c r="P195" i="12"/>
  <c r="P196" i="12"/>
  <c r="P197" i="12"/>
  <c r="P198" i="12"/>
  <c r="P199" i="12"/>
  <c r="P200" i="12"/>
  <c r="P201" i="12"/>
  <c r="P202" i="12"/>
  <c r="P203" i="12"/>
  <c r="P204" i="12"/>
  <c r="P206" i="12"/>
  <c r="P207" i="12"/>
  <c r="P208" i="12"/>
  <c r="P209" i="12"/>
  <c r="P210" i="12"/>
  <c r="P211" i="12"/>
  <c r="P212" i="12"/>
  <c r="P213" i="12"/>
  <c r="P214" i="12"/>
  <c r="P215" i="12"/>
  <c r="P216" i="12"/>
  <c r="P217" i="12"/>
  <c r="P218" i="12"/>
  <c r="P219" i="12"/>
  <c r="P220" i="12"/>
  <c r="P221" i="12"/>
  <c r="P222" i="12"/>
  <c r="P223" i="12"/>
  <c r="P224" i="12"/>
  <c r="P225" i="12"/>
  <c r="P226" i="12"/>
  <c r="P227" i="12"/>
  <c r="P228" i="12"/>
  <c r="P229" i="12"/>
  <c r="P230" i="12"/>
  <c r="P231" i="12"/>
  <c r="P232" i="12"/>
  <c r="P233" i="12"/>
  <c r="P234" i="12"/>
  <c r="P235" i="12"/>
  <c r="P236" i="12"/>
  <c r="P237" i="12"/>
  <c r="P238" i="12"/>
  <c r="P239" i="12"/>
  <c r="P240" i="12"/>
  <c r="P241" i="12"/>
  <c r="P242" i="12"/>
  <c r="P243" i="12"/>
  <c r="P244" i="12"/>
  <c r="P245" i="12"/>
  <c r="P246" i="12"/>
  <c r="P247" i="12"/>
  <c r="P248" i="12"/>
  <c r="P249" i="12"/>
  <c r="P250" i="12"/>
  <c r="P251" i="12"/>
  <c r="P252" i="12"/>
  <c r="P253" i="12"/>
  <c r="P254" i="12"/>
  <c r="P255" i="12"/>
  <c r="P256" i="12"/>
  <c r="P257" i="12"/>
  <c r="P258" i="12"/>
  <c r="P259" i="12"/>
  <c r="P260" i="12"/>
  <c r="P261" i="12"/>
  <c r="P262" i="12"/>
  <c r="P263" i="12"/>
  <c r="P264" i="12"/>
  <c r="P265" i="12"/>
  <c r="P266" i="12"/>
  <c r="P267" i="12"/>
  <c r="P268" i="12"/>
  <c r="P269" i="12"/>
  <c r="P270" i="12"/>
  <c r="P271" i="12"/>
  <c r="P272" i="12"/>
  <c r="P273" i="12"/>
  <c r="P274" i="12"/>
  <c r="P275" i="12"/>
  <c r="P276" i="12"/>
  <c r="P277" i="12"/>
  <c r="P278" i="12"/>
  <c r="P279" i="12"/>
  <c r="P280" i="12"/>
  <c r="P281" i="12"/>
  <c r="P282" i="12"/>
  <c r="P283" i="12"/>
  <c r="P284" i="12"/>
  <c r="P285" i="12"/>
  <c r="P286" i="12"/>
  <c r="P288" i="12"/>
  <c r="P289" i="12"/>
  <c r="P290" i="12"/>
  <c r="P291" i="12"/>
  <c r="P292" i="12"/>
  <c r="P293" i="12"/>
  <c r="P294" i="12"/>
  <c r="P295" i="12"/>
  <c r="P296" i="12"/>
  <c r="P297" i="12"/>
  <c r="P298" i="12"/>
  <c r="P299" i="12"/>
  <c r="P300" i="12"/>
  <c r="P301" i="12"/>
  <c r="P302" i="12"/>
  <c r="P303" i="12"/>
  <c r="P304" i="12"/>
  <c r="P305" i="12"/>
  <c r="P306" i="12"/>
  <c r="P307" i="12"/>
  <c r="P308" i="12"/>
  <c r="P309" i="12"/>
  <c r="P310" i="12"/>
  <c r="P311" i="12"/>
  <c r="P312" i="12"/>
  <c r="P313" i="12"/>
  <c r="P314" i="12"/>
  <c r="P315" i="12"/>
  <c r="P316" i="12"/>
  <c r="P317" i="12"/>
  <c r="P318" i="12"/>
  <c r="P319" i="12"/>
  <c r="P320" i="12"/>
  <c r="P321" i="12"/>
  <c r="P322" i="12"/>
  <c r="P323" i="12"/>
  <c r="P324" i="12"/>
  <c r="P325" i="12"/>
  <c r="P326" i="12"/>
  <c r="P327" i="12"/>
  <c r="P328" i="12"/>
  <c r="P329" i="12"/>
  <c r="P330" i="12"/>
  <c r="P331" i="12"/>
  <c r="P332" i="12"/>
  <c r="P335" i="12"/>
  <c r="P336" i="12"/>
  <c r="P337" i="12"/>
  <c r="P338" i="12"/>
  <c r="P339" i="12"/>
  <c r="P340" i="12"/>
  <c r="P341" i="12"/>
  <c r="P342" i="12"/>
  <c r="P344" i="12"/>
  <c r="P345" i="12"/>
  <c r="P346" i="12"/>
  <c r="P347" i="12"/>
  <c r="P349" i="12"/>
  <c r="P350" i="12"/>
  <c r="P359" i="12"/>
  <c r="P361" i="12"/>
  <c r="P363" i="12"/>
  <c r="P365" i="12"/>
  <c r="P366" i="12"/>
  <c r="P368" i="12"/>
  <c r="P369" i="12"/>
  <c r="P370" i="12"/>
  <c r="P371" i="12"/>
  <c r="P372" i="12"/>
  <c r="P373" i="12"/>
  <c r="P374" i="12"/>
  <c r="P375" i="12"/>
  <c r="P376" i="12"/>
  <c r="P377" i="12"/>
  <c r="P378" i="12"/>
  <c r="P379" i="12"/>
  <c r="P380" i="12"/>
  <c r="P381" i="12"/>
  <c r="P382" i="12"/>
  <c r="P383" i="12"/>
  <c r="P384" i="12"/>
  <c r="P385" i="12"/>
  <c r="P386" i="12"/>
  <c r="P387" i="12"/>
  <c r="P388" i="12"/>
  <c r="P389" i="12"/>
  <c r="P390" i="12"/>
  <c r="P392" i="12"/>
  <c r="P393" i="12"/>
  <c r="P394" i="12"/>
  <c r="P395" i="12"/>
  <c r="P396" i="12"/>
  <c r="P397" i="12"/>
  <c r="P398" i="12"/>
  <c r="P399" i="12"/>
  <c r="P400" i="12"/>
  <c r="P401" i="12"/>
  <c r="P402" i="12"/>
  <c r="P403" i="12"/>
  <c r="P404" i="12"/>
  <c r="P405" i="12"/>
  <c r="P406" i="12"/>
  <c r="P407" i="12"/>
  <c r="P408" i="12"/>
  <c r="P409" i="12"/>
  <c r="P410" i="12"/>
  <c r="P411" i="12"/>
  <c r="P412" i="12"/>
  <c r="P413" i="12"/>
  <c r="P414" i="12"/>
  <c r="P415" i="12"/>
  <c r="P416" i="12"/>
  <c r="P417" i="12"/>
  <c r="P418" i="12"/>
  <c r="P419" i="12"/>
  <c r="P420" i="12"/>
  <c r="P421" i="12"/>
  <c r="P422" i="12"/>
  <c r="P423" i="12"/>
  <c r="P424" i="12"/>
  <c r="P425" i="12"/>
  <c r="P426" i="12"/>
  <c r="P427" i="12"/>
  <c r="P428" i="12"/>
  <c r="P429" i="12"/>
  <c r="P430" i="12"/>
  <c r="P431" i="12"/>
  <c r="P432" i="12"/>
  <c r="P433" i="12"/>
  <c r="P434" i="12"/>
  <c r="P435" i="12"/>
  <c r="P391" i="12"/>
  <c r="R23" i="15"/>
  <c r="S34" i="15"/>
  <c r="U37" i="25"/>
  <c r="S92" i="15" l="1"/>
  <c r="S23" i="15"/>
  <c r="S85" i="15"/>
  <c r="P68" i="12"/>
  <c r="K302" i="12"/>
  <c r="K301" i="12"/>
  <c r="K300" i="12"/>
  <c r="K299" i="12"/>
  <c r="K298" i="12"/>
  <c r="K297" i="12"/>
  <c r="K296" i="12"/>
  <c r="K295" i="12"/>
  <c r="K294" i="12"/>
  <c r="K293" i="12"/>
  <c r="K292" i="12"/>
  <c r="K291" i="12"/>
  <c r="K290" i="12"/>
  <c r="K289" i="12"/>
  <c r="K288" i="12"/>
  <c r="E111" i="15"/>
  <c r="R90" i="15"/>
  <c r="R89" i="15"/>
  <c r="R88" i="15"/>
  <c r="R87" i="15"/>
  <c r="R86" i="15"/>
  <c r="R84" i="15"/>
  <c r="R83" i="15"/>
  <c r="R82" i="15"/>
  <c r="R81" i="15"/>
  <c r="R80" i="15"/>
  <c r="R79" i="15"/>
  <c r="R77" i="15"/>
  <c r="R76" i="15"/>
  <c r="R75" i="15"/>
  <c r="R74" i="15"/>
  <c r="R73" i="15"/>
  <c r="R72" i="15"/>
  <c r="R92" i="15"/>
  <c r="Q71" i="15"/>
  <c r="R16" i="15"/>
  <c r="R10" i="15"/>
  <c r="R8" i="15"/>
  <c r="R7" i="15"/>
  <c r="R32" i="15"/>
  <c r="U36" i="25"/>
  <c r="U35" i="25"/>
  <c r="Q87" i="15"/>
  <c r="Q88" i="15"/>
  <c r="Q89" i="15"/>
  <c r="Q90" i="15"/>
  <c r="Q86" i="15"/>
  <c r="Q80" i="15"/>
  <c r="Q81" i="15"/>
  <c r="Q82" i="15"/>
  <c r="Q83" i="15"/>
  <c r="Q84" i="15"/>
  <c r="Q79" i="15"/>
  <c r="Q72" i="15"/>
  <c r="Q73" i="15"/>
  <c r="Q74" i="15"/>
  <c r="Q75" i="15"/>
  <c r="Q76" i="15"/>
  <c r="Q77" i="15"/>
  <c r="Q92" i="15"/>
  <c r="P71" i="15"/>
  <c r="R34" i="15" l="1"/>
  <c r="H60" i="25"/>
  <c r="P92" i="15"/>
  <c r="P90" i="15"/>
  <c r="P89" i="15"/>
  <c r="P88" i="15"/>
  <c r="P87" i="15"/>
  <c r="P86" i="15"/>
  <c r="P84" i="15"/>
  <c r="P83" i="15"/>
  <c r="P82" i="15"/>
  <c r="P81" i="15"/>
  <c r="P80" i="15"/>
  <c r="P79" i="15"/>
  <c r="P77" i="15"/>
  <c r="P76" i="15"/>
  <c r="P75" i="15"/>
  <c r="P74" i="15"/>
  <c r="P73" i="15"/>
  <c r="P72" i="15"/>
  <c r="O71" i="15"/>
  <c r="O92" i="15"/>
  <c r="O87" i="15"/>
  <c r="O88" i="15"/>
  <c r="O89" i="15"/>
  <c r="O90" i="15"/>
  <c r="O86" i="15"/>
  <c r="O80" i="15"/>
  <c r="O81" i="15"/>
  <c r="O82" i="15"/>
  <c r="O83" i="15"/>
  <c r="O84" i="15"/>
  <c r="O79" i="15"/>
  <c r="O72" i="15"/>
  <c r="O73" i="15"/>
  <c r="O74" i="15"/>
  <c r="O75" i="15"/>
  <c r="O76" i="15"/>
  <c r="O77" i="15"/>
  <c r="O37" i="15"/>
  <c r="O33" i="15"/>
  <c r="O32" i="15"/>
  <c r="O23" i="15"/>
  <c r="O24" i="15"/>
  <c r="O22" i="15"/>
  <c r="O19" i="15"/>
  <c r="O13" i="15"/>
  <c r="O14" i="15"/>
  <c r="O15" i="15"/>
  <c r="O16" i="15"/>
  <c r="O17" i="15"/>
  <c r="O18" i="15"/>
  <c r="O12" i="15"/>
  <c r="O10" i="15"/>
  <c r="O8" i="15"/>
  <c r="O7" i="15"/>
  <c r="N71" i="15" l="1"/>
  <c r="N90" i="15"/>
  <c r="N89" i="15"/>
  <c r="N88" i="15"/>
  <c r="N87" i="15"/>
  <c r="N86" i="15"/>
  <c r="N84" i="15"/>
  <c r="N83" i="15"/>
  <c r="N82" i="15"/>
  <c r="N81" i="15"/>
  <c r="N80" i="15"/>
  <c r="N79" i="15"/>
  <c r="N77" i="15"/>
  <c r="N76" i="15"/>
  <c r="N75" i="15"/>
  <c r="N74" i="15"/>
  <c r="N73" i="15"/>
  <c r="N72" i="15"/>
  <c r="N92" i="15"/>
  <c r="O34" i="15" l="1"/>
  <c r="M33" i="15"/>
  <c r="N33" i="15"/>
  <c r="P33" i="15"/>
  <c r="Q33" i="15"/>
  <c r="R33" i="15"/>
  <c r="N34" i="15"/>
  <c r="P34" i="15"/>
  <c r="Q34" i="15"/>
  <c r="M32" i="15"/>
  <c r="N32" i="15"/>
  <c r="P32" i="15"/>
  <c r="Q32" i="15"/>
  <c r="M23" i="15"/>
  <c r="N23" i="15"/>
  <c r="P23" i="15"/>
  <c r="Q23" i="15"/>
  <c r="M24" i="15"/>
  <c r="N24" i="15"/>
  <c r="P24" i="15"/>
  <c r="Q24" i="15"/>
  <c r="R24" i="15"/>
  <c r="M22" i="15"/>
  <c r="N22" i="15"/>
  <c r="P22" i="15"/>
  <c r="Q22" i="15"/>
  <c r="R22" i="15"/>
  <c r="M13" i="15"/>
  <c r="N13" i="15"/>
  <c r="P13" i="15"/>
  <c r="Q13" i="15"/>
  <c r="R13" i="15"/>
  <c r="M14" i="15"/>
  <c r="N14" i="15"/>
  <c r="P14" i="15"/>
  <c r="Q14" i="15"/>
  <c r="R14" i="15"/>
  <c r="M15" i="15"/>
  <c r="N15" i="15"/>
  <c r="P15" i="15"/>
  <c r="Q15" i="15"/>
  <c r="R15" i="15"/>
  <c r="M16" i="15"/>
  <c r="N16" i="15"/>
  <c r="P16" i="15"/>
  <c r="Q16" i="15"/>
  <c r="M17" i="15"/>
  <c r="N17" i="15"/>
  <c r="P17" i="15"/>
  <c r="Q17" i="15"/>
  <c r="R17" i="15"/>
  <c r="M18" i="15"/>
  <c r="N18" i="15"/>
  <c r="P18" i="15"/>
  <c r="Q18" i="15"/>
  <c r="R18" i="15"/>
  <c r="M19" i="15"/>
  <c r="N19" i="15"/>
  <c r="P19" i="15"/>
  <c r="Q19" i="15"/>
  <c r="R19" i="15"/>
  <c r="M12" i="15"/>
  <c r="N12" i="15"/>
  <c r="P12" i="15"/>
  <c r="Q12" i="15"/>
  <c r="R12" i="15"/>
  <c r="M10" i="15"/>
  <c r="N10" i="15"/>
  <c r="P10" i="15"/>
  <c r="Q10" i="15"/>
  <c r="M8" i="15"/>
  <c r="N8" i="15"/>
  <c r="P8" i="15"/>
  <c r="Q8" i="15"/>
  <c r="N7" i="15"/>
  <c r="M7" i="15"/>
  <c r="P7" i="15"/>
  <c r="Q7" i="15"/>
  <c r="M5" i="15"/>
  <c r="N5" i="15"/>
  <c r="O5" i="15"/>
  <c r="P5" i="15"/>
  <c r="Q5" i="15"/>
  <c r="R5" i="15"/>
  <c r="L5" i="15"/>
  <c r="L33" i="15"/>
  <c r="L32" i="15"/>
  <c r="R6" i="15" l="1"/>
  <c r="K92" i="15"/>
  <c r="U27" i="25"/>
  <c r="K87" i="15"/>
  <c r="K88" i="15"/>
  <c r="K89" i="15"/>
  <c r="K90" i="15"/>
  <c r="K86" i="15"/>
  <c r="K80" i="15"/>
  <c r="K81" i="15"/>
  <c r="K82" i="15"/>
  <c r="K83" i="15"/>
  <c r="K84" i="15"/>
  <c r="K79" i="15"/>
  <c r="K73" i="15"/>
  <c r="K72" i="15"/>
  <c r="K71" i="15"/>
  <c r="K74" i="15"/>
  <c r="K75" i="15"/>
  <c r="K76" i="15"/>
  <c r="K77" i="15"/>
  <c r="M34" i="15" l="1"/>
  <c r="K66" i="25"/>
  <c r="K71" i="25"/>
  <c r="L60" i="25"/>
  <c r="J92" i="15"/>
  <c r="J87" i="15"/>
  <c r="J88" i="15"/>
  <c r="J89" i="15"/>
  <c r="J90" i="15"/>
  <c r="J86" i="15"/>
  <c r="J80" i="15"/>
  <c r="J81" i="15"/>
  <c r="J82" i="15"/>
  <c r="J83" i="15"/>
  <c r="J84" i="15"/>
  <c r="J79" i="15"/>
  <c r="E6" i="15" l="1"/>
  <c r="R334" i="12" l="1"/>
  <c r="H34" i="15"/>
  <c r="H32" i="15"/>
  <c r="R3" i="12" l="1"/>
  <c r="I34" i="15"/>
  <c r="T34" i="15" s="1"/>
  <c r="T32" i="15"/>
  <c r="P334" i="12"/>
  <c r="P3" i="12" l="1"/>
  <c r="E120" i="15"/>
  <c r="O2" i="12"/>
  <c r="U8" i="25" l="1"/>
  <c r="U1" i="25" s="1"/>
  <c r="O36" i="15" l="1"/>
  <c r="P37" i="15"/>
  <c r="P36" i="15" s="1"/>
  <c r="Q37" i="15"/>
  <c r="Q36" i="15" s="1"/>
  <c r="R37" i="15"/>
  <c r="R36" i="15" s="1"/>
  <c r="S37" i="15"/>
  <c r="S36" i="15" s="1"/>
  <c r="L37" i="15"/>
  <c r="L36" i="15" s="1"/>
  <c r="K37" i="15"/>
  <c r="K36" i="15" s="1"/>
  <c r="M37" i="15"/>
  <c r="M36" i="15" s="1"/>
  <c r="N37" i="15"/>
  <c r="N36" i="15" s="1"/>
  <c r="J37" i="15"/>
  <c r="J36" i="15" s="1"/>
  <c r="I36" i="15"/>
  <c r="T37" i="15" l="1"/>
  <c r="H33" i="15" l="1"/>
  <c r="H24" i="15"/>
  <c r="H23" i="15"/>
  <c r="H22" i="15"/>
  <c r="K19" i="15"/>
  <c r="H19" i="15"/>
  <c r="K18" i="15"/>
  <c r="H18" i="15"/>
  <c r="K17" i="15"/>
  <c r="H17" i="15"/>
  <c r="K16" i="15"/>
  <c r="H16" i="15"/>
  <c r="K15" i="15"/>
  <c r="H15" i="15"/>
  <c r="H14" i="15"/>
  <c r="K13" i="15"/>
  <c r="H13" i="15"/>
  <c r="K12" i="15"/>
  <c r="H12" i="15"/>
  <c r="I10" i="15"/>
  <c r="K10" i="15"/>
  <c r="M9" i="15"/>
  <c r="N9" i="15"/>
  <c r="O9" i="15"/>
  <c r="P9" i="15"/>
  <c r="Q9" i="15"/>
  <c r="R9" i="15"/>
  <c r="H10" i="15"/>
  <c r="I5" i="15"/>
  <c r="J5" i="15"/>
  <c r="K5" i="15"/>
  <c r="H5" i="15"/>
  <c r="H7" i="15"/>
  <c r="H8" i="15"/>
  <c r="T10" i="15" l="1"/>
  <c r="T9" i="15" s="1"/>
  <c r="U9" i="15" s="1"/>
  <c r="T14" i="15"/>
  <c r="T19" i="15"/>
  <c r="T5" i="15"/>
  <c r="T12" i="15"/>
  <c r="U5" i="15" l="1"/>
  <c r="I6" i="15"/>
  <c r="M64" i="15" l="1"/>
  <c r="N64" i="15"/>
  <c r="O64" i="15"/>
  <c r="P64" i="15"/>
  <c r="Q64" i="15"/>
  <c r="R64" i="15"/>
  <c r="S64" i="15"/>
  <c r="M61" i="15"/>
  <c r="N61" i="15"/>
  <c r="O61" i="15"/>
  <c r="P61" i="15"/>
  <c r="Q61" i="15"/>
  <c r="R61" i="15"/>
  <c r="J64" i="15"/>
  <c r="K64" i="15"/>
  <c r="L64" i="15"/>
  <c r="I64" i="15"/>
  <c r="I9" i="15"/>
  <c r="I61" i="15" s="1"/>
  <c r="J9" i="15"/>
  <c r="J61" i="15" s="1"/>
  <c r="K9" i="15"/>
  <c r="K61" i="15" s="1"/>
  <c r="L9" i="15"/>
  <c r="L61" i="15" s="1"/>
  <c r="H9" i="15"/>
  <c r="H61" i="15" s="1"/>
  <c r="U53" i="25" l="1"/>
  <c r="J53" i="25"/>
  <c r="K53" i="25"/>
  <c r="L53" i="25"/>
  <c r="M53" i="25"/>
  <c r="N53" i="25"/>
  <c r="O53" i="25"/>
  <c r="P53" i="25"/>
  <c r="Q53" i="25"/>
  <c r="R53" i="25"/>
  <c r="S53" i="25"/>
  <c r="T53" i="25"/>
  <c r="I53" i="25"/>
  <c r="U54" i="25"/>
  <c r="U67" i="25" l="1"/>
  <c r="U62" i="25"/>
  <c r="U57" i="25"/>
  <c r="U65" i="25"/>
  <c r="U56" i="25"/>
  <c r="U55" i="25"/>
  <c r="U70" i="25"/>
  <c r="U61" i="25"/>
  <c r="U69" i="25"/>
  <c r="U59" i="25"/>
  <c r="U68" i="25"/>
  <c r="U63" i="25"/>
  <c r="U58" i="25"/>
  <c r="I66" i="25"/>
  <c r="N60" i="25"/>
  <c r="L71" i="25"/>
  <c r="I71" i="25"/>
  <c r="J71" i="25"/>
  <c r="J66" i="25"/>
  <c r="N71" i="25"/>
  <c r="L66" i="25"/>
  <c r="U64" i="25"/>
  <c r="M71" i="25"/>
  <c r="M60" i="25"/>
  <c r="I60" i="25"/>
  <c r="M66" i="25"/>
  <c r="N66" i="25"/>
  <c r="U60" i="25" l="1"/>
  <c r="J73" i="25"/>
  <c r="M73" i="25"/>
  <c r="L73" i="25"/>
  <c r="U66" i="25"/>
  <c r="U71" i="25"/>
  <c r="O73" i="25"/>
  <c r="P73" i="25"/>
  <c r="K73" i="25"/>
  <c r="S73" i="25"/>
  <c r="I73" i="25"/>
  <c r="N73" i="25"/>
  <c r="T73" i="25"/>
  <c r="R73" i="25"/>
  <c r="Q73" i="25"/>
  <c r="U73" i="25" l="1"/>
  <c r="H71" i="25" l="1"/>
  <c r="H98" i="15"/>
  <c r="E119" i="15" l="1"/>
  <c r="E112" i="15" l="1"/>
  <c r="E108" i="15"/>
  <c r="E109" i="15"/>
  <c r="E115" i="15"/>
  <c r="E110" i="15"/>
  <c r="E113" i="15"/>
  <c r="E117" i="15"/>
  <c r="E118" i="15"/>
  <c r="E114" i="15"/>
  <c r="U44" i="15"/>
  <c r="F6" i="15" l="1"/>
  <c r="C2" i="26"/>
  <c r="H36" i="15"/>
  <c r="H64" i="15" s="1"/>
  <c r="T64" i="15" s="1"/>
  <c r="E36" i="15"/>
  <c r="F17" i="15"/>
  <c r="F18" i="15"/>
  <c r="F11" i="15" s="1"/>
  <c r="F19" i="15"/>
  <c r="S9" i="15"/>
  <c r="S61" i="15" s="1"/>
  <c r="T61" i="15" s="1"/>
  <c r="F31" i="15"/>
  <c r="I26" i="15"/>
  <c r="F13" i="15"/>
  <c r="F12" i="15"/>
  <c r="M102" i="15"/>
  <c r="L102" i="15"/>
  <c r="P63" i="15"/>
  <c r="P26" i="15"/>
  <c r="O63" i="15"/>
  <c r="R63" i="15"/>
  <c r="Q63" i="15"/>
  <c r="N63" i="15"/>
  <c r="M63" i="15"/>
  <c r="T28" i="15"/>
  <c r="R102" i="15"/>
  <c r="P102" i="15"/>
  <c r="O102" i="15"/>
  <c r="N102" i="15"/>
  <c r="K102" i="15"/>
  <c r="K26" i="15"/>
  <c r="S102" i="15"/>
  <c r="K69" i="15"/>
  <c r="K97" i="15" s="1"/>
  <c r="L69" i="15"/>
  <c r="L97" i="15" s="1"/>
  <c r="M69" i="15"/>
  <c r="M97" i="15" s="1"/>
  <c r="N69" i="15"/>
  <c r="N97" i="15" s="1"/>
  <c r="O69" i="15"/>
  <c r="O97" i="15" s="1"/>
  <c r="P69" i="15"/>
  <c r="P97" i="15" s="1"/>
  <c r="Q69" i="15"/>
  <c r="Q97" i="15" s="1"/>
  <c r="R69" i="15"/>
  <c r="R97" i="15" s="1"/>
  <c r="S69" i="15"/>
  <c r="S97" i="15" s="1"/>
  <c r="K56" i="15"/>
  <c r="L56" i="15"/>
  <c r="M56" i="15"/>
  <c r="N56" i="15"/>
  <c r="O56" i="15"/>
  <c r="P56" i="15"/>
  <c r="Q56" i="15"/>
  <c r="R56" i="15"/>
  <c r="S56" i="15"/>
  <c r="K51" i="15"/>
  <c r="L51" i="15"/>
  <c r="M51" i="15"/>
  <c r="N51" i="15"/>
  <c r="O51" i="15"/>
  <c r="P51" i="15"/>
  <c r="Q51" i="15"/>
  <c r="R51" i="15"/>
  <c r="S51" i="15"/>
  <c r="J56" i="15"/>
  <c r="I69" i="15"/>
  <c r="I97" i="15" s="1"/>
  <c r="J69" i="15"/>
  <c r="J97" i="15" s="1"/>
  <c r="J102" i="15"/>
  <c r="I98" i="15"/>
  <c r="J98" i="15"/>
  <c r="K98" i="15"/>
  <c r="L98" i="15"/>
  <c r="M98" i="15"/>
  <c r="N98" i="15"/>
  <c r="O98" i="15"/>
  <c r="P98" i="15"/>
  <c r="Q98" i="15"/>
  <c r="R98" i="15"/>
  <c r="S98" i="15"/>
  <c r="T98" i="15"/>
  <c r="T97" i="15"/>
  <c r="H69" i="15"/>
  <c r="H97" i="15" s="1"/>
  <c r="I56" i="15"/>
  <c r="H56" i="15"/>
  <c r="I51" i="15"/>
  <c r="J51" i="15"/>
  <c r="H51" i="15"/>
  <c r="H92" i="15"/>
  <c r="I102" i="15"/>
  <c r="H87" i="15"/>
  <c r="H88" i="15"/>
  <c r="H89" i="15"/>
  <c r="H90" i="15"/>
  <c r="H86" i="15"/>
  <c r="H80" i="15"/>
  <c r="H81" i="15"/>
  <c r="H82" i="15"/>
  <c r="H83" i="15"/>
  <c r="H84" i="15"/>
  <c r="H79" i="15"/>
  <c r="H72" i="15"/>
  <c r="H73" i="15"/>
  <c r="H74" i="15"/>
  <c r="H75" i="15"/>
  <c r="H76" i="15"/>
  <c r="H77" i="15"/>
  <c r="H71" i="15"/>
  <c r="J26" i="15"/>
  <c r="L26" i="15"/>
  <c r="M26" i="15"/>
  <c r="N26" i="15"/>
  <c r="O26" i="15"/>
  <c r="Q26" i="15"/>
  <c r="R26" i="15"/>
  <c r="S26" i="15"/>
  <c r="T39" i="15"/>
  <c r="U39" i="15" s="1"/>
  <c r="T27" i="15"/>
  <c r="H26" i="15"/>
  <c r="E31" i="15"/>
  <c r="U29" i="15"/>
  <c r="F28" i="15"/>
  <c r="F26" i="15" s="1"/>
  <c r="E26" i="15"/>
  <c r="F21" i="15"/>
  <c r="E21" i="15"/>
  <c r="E11" i="15"/>
  <c r="E40" i="15" l="1"/>
  <c r="F41" i="15"/>
  <c r="F40" i="15"/>
  <c r="T71" i="15"/>
  <c r="W71" i="15" s="1"/>
  <c r="E41" i="15"/>
  <c r="E52" i="15" s="1"/>
  <c r="T72" i="15"/>
  <c r="W72" i="15" s="1"/>
  <c r="E116" i="15"/>
  <c r="T26" i="15"/>
  <c r="U28" i="15"/>
  <c r="U27" i="15"/>
  <c r="T36" i="15"/>
  <c r="U36" i="15" s="1"/>
  <c r="H102" i="15"/>
  <c r="K63" i="15"/>
  <c r="L63" i="15"/>
  <c r="J63" i="15"/>
  <c r="H63" i="15"/>
  <c r="I63" i="15"/>
  <c r="R78" i="15"/>
  <c r="R99" i="15" s="1"/>
  <c r="S63" i="15"/>
  <c r="S31" i="15"/>
  <c r="S60" i="15" s="1"/>
  <c r="T16" i="15"/>
  <c r="U16" i="15" s="1"/>
  <c r="T8" i="15"/>
  <c r="U8" i="15" s="1"/>
  <c r="T22" i="15"/>
  <c r="U32" i="15"/>
  <c r="U14" i="15"/>
  <c r="T33" i="15"/>
  <c r="U33" i="15" s="1"/>
  <c r="T7" i="15"/>
  <c r="T23" i="15"/>
  <c r="U23" i="15" s="1"/>
  <c r="I21" i="15"/>
  <c r="P6" i="15"/>
  <c r="L62" i="15"/>
  <c r="M6" i="15"/>
  <c r="O6" i="15"/>
  <c r="H21" i="15"/>
  <c r="J31" i="15"/>
  <c r="J60" i="15" s="1"/>
  <c r="J6" i="15"/>
  <c r="J62" i="15" s="1"/>
  <c r="K6" i="15"/>
  <c r="K62" i="15" s="1"/>
  <c r="P21" i="15"/>
  <c r="L21" i="15"/>
  <c r="I31" i="15"/>
  <c r="I60" i="15" s="1"/>
  <c r="O31" i="15"/>
  <c r="O60" i="15" s="1"/>
  <c r="M21" i="15"/>
  <c r="Q21" i="15"/>
  <c r="K21" i="15"/>
  <c r="K85" i="15"/>
  <c r="K100" i="15" s="1"/>
  <c r="S91" i="15"/>
  <c r="S101" i="15" s="1"/>
  <c r="L85" i="15"/>
  <c r="L100" i="15" s="1"/>
  <c r="Q91" i="15"/>
  <c r="Q101" i="15" s="1"/>
  <c r="K91" i="15"/>
  <c r="K101" i="15" s="1"/>
  <c r="Q6" i="15"/>
  <c r="H66" i="25"/>
  <c r="H73" i="25" s="1"/>
  <c r="O85" i="15"/>
  <c r="O100" i="15" s="1"/>
  <c r="M91" i="15"/>
  <c r="M101" i="15" s="1"/>
  <c r="S21" i="15"/>
  <c r="I62" i="15"/>
  <c r="R21" i="15"/>
  <c r="R85" i="15"/>
  <c r="N31" i="15"/>
  <c r="N60" i="15" s="1"/>
  <c r="S11" i="15"/>
  <c r="S59" i="15" s="1"/>
  <c r="O21" i="15"/>
  <c r="J85" i="15"/>
  <c r="J100" i="15" s="1"/>
  <c r="P31" i="15"/>
  <c r="P60" i="15" s="1"/>
  <c r="N6" i="15"/>
  <c r="L31" i="15"/>
  <c r="L60" i="15" s="1"/>
  <c r="T24" i="15"/>
  <c r="U24" i="15" s="1"/>
  <c r="R31" i="15"/>
  <c r="R60" i="15" s="1"/>
  <c r="T81" i="15"/>
  <c r="W81" i="15" s="1"/>
  <c r="M31" i="15"/>
  <c r="M60" i="15" s="1"/>
  <c r="R11" i="15"/>
  <c r="R59" i="15" s="1"/>
  <c r="T13" i="15"/>
  <c r="J59" i="15"/>
  <c r="T15" i="15"/>
  <c r="U15" i="15" s="1"/>
  <c r="I11" i="15"/>
  <c r="I59" i="15" s="1"/>
  <c r="Q11" i="15"/>
  <c r="Q59" i="15" s="1"/>
  <c r="O11" i="15"/>
  <c r="O59" i="15" s="1"/>
  <c r="O78" i="15"/>
  <c r="K78" i="15"/>
  <c r="K99" i="15" s="1"/>
  <c r="K11" i="15"/>
  <c r="K59" i="15" s="1"/>
  <c r="M78" i="15"/>
  <c r="N78" i="15"/>
  <c r="N99" i="15" s="1"/>
  <c r="P85" i="15"/>
  <c r="P100" i="15" s="1"/>
  <c r="M85" i="15"/>
  <c r="M100" i="15" s="1"/>
  <c r="T80" i="15"/>
  <c r="W80" i="15" s="1"/>
  <c r="N91" i="15"/>
  <c r="N101" i="15" s="1"/>
  <c r="L91" i="15"/>
  <c r="L101" i="15" s="1"/>
  <c r="R91" i="15"/>
  <c r="R101" i="15" s="1"/>
  <c r="O91" i="15"/>
  <c r="O101" i="15" s="1"/>
  <c r="P91" i="15"/>
  <c r="P101" i="15" s="1"/>
  <c r="S6" i="15"/>
  <c r="T75" i="15"/>
  <c r="W75" i="15" s="1"/>
  <c r="T83" i="15"/>
  <c r="W83" i="15" s="1"/>
  <c r="T84" i="15"/>
  <c r="W84" i="15" s="1"/>
  <c r="T74" i="15"/>
  <c r="W74" i="15" s="1"/>
  <c r="T82" i="15"/>
  <c r="W82" i="15" s="1"/>
  <c r="L11" i="15"/>
  <c r="L59" i="15" s="1"/>
  <c r="S100" i="15"/>
  <c r="T90" i="15"/>
  <c r="W90" i="15" s="1"/>
  <c r="I91" i="15"/>
  <c r="I101" i="15" s="1"/>
  <c r="Q78" i="15"/>
  <c r="Q99" i="15" s="1"/>
  <c r="T76" i="15"/>
  <c r="W76" i="15" s="1"/>
  <c r="Q85" i="15"/>
  <c r="Q100" i="15" s="1"/>
  <c r="N85" i="15"/>
  <c r="T89" i="15"/>
  <c r="W89" i="15" s="1"/>
  <c r="T88" i="15"/>
  <c r="W88" i="15" s="1"/>
  <c r="P11" i="15"/>
  <c r="P59" i="15" s="1"/>
  <c r="P78" i="15"/>
  <c r="H78" i="15"/>
  <c r="H99" i="15" s="1"/>
  <c r="T87" i="15"/>
  <c r="W87" i="15" s="1"/>
  <c r="U12" i="15"/>
  <c r="S78" i="15"/>
  <c r="T77" i="15"/>
  <c r="W77" i="15" s="1"/>
  <c r="H85" i="15"/>
  <c r="H100" i="15" s="1"/>
  <c r="T86" i="15"/>
  <c r="W86" i="15" s="1"/>
  <c r="K31" i="15"/>
  <c r="K60" i="15" s="1"/>
  <c r="J91" i="15"/>
  <c r="J101" i="15" s="1"/>
  <c r="H11" i="15"/>
  <c r="H59" i="15" s="1"/>
  <c r="U19" i="15"/>
  <c r="M11" i="15"/>
  <c r="N11" i="15"/>
  <c r="N59" i="15" s="1"/>
  <c r="J21" i="15"/>
  <c r="N21" i="15"/>
  <c r="H31" i="15"/>
  <c r="H60" i="15" s="1"/>
  <c r="T18" i="15"/>
  <c r="U18" i="15" s="1"/>
  <c r="I85" i="15"/>
  <c r="I100" i="15" s="1"/>
  <c r="Q31" i="15"/>
  <c r="Q60" i="15" s="1"/>
  <c r="T17" i="15"/>
  <c r="U17" i="15" s="1"/>
  <c r="H6" i="15"/>
  <c r="H91" i="15"/>
  <c r="H101" i="15" s="1"/>
  <c r="Q102" i="15"/>
  <c r="T79" i="15"/>
  <c r="W79" i="15" s="1"/>
  <c r="I78" i="15"/>
  <c r="T73" i="15"/>
  <c r="W73" i="15" s="1"/>
  <c r="T63" i="15" l="1"/>
  <c r="T60" i="15"/>
  <c r="R100" i="15"/>
  <c r="R103" i="15" s="1"/>
  <c r="R93" i="15"/>
  <c r="M40" i="15"/>
  <c r="M42" i="15" s="1"/>
  <c r="I93" i="15"/>
  <c r="S41" i="15"/>
  <c r="P58" i="15"/>
  <c r="P40" i="15"/>
  <c r="P42" i="15" s="1"/>
  <c r="O93" i="15"/>
  <c r="O40" i="15"/>
  <c r="O42" i="15" s="1"/>
  <c r="R62" i="15"/>
  <c r="R41" i="15"/>
  <c r="O62" i="15"/>
  <c r="O41" i="15"/>
  <c r="P62" i="15"/>
  <c r="P41" i="15"/>
  <c r="Q58" i="15"/>
  <c r="Q40" i="15"/>
  <c r="Q42" i="15" s="1"/>
  <c r="N40" i="15"/>
  <c r="N42" i="15" s="1"/>
  <c r="R58" i="15"/>
  <c r="R40" i="15"/>
  <c r="R42" i="15" s="1"/>
  <c r="S58" i="15"/>
  <c r="S65" i="15" s="1"/>
  <c r="S40" i="15"/>
  <c r="S42" i="15" s="1"/>
  <c r="Q62" i="15"/>
  <c r="Q41" i="15"/>
  <c r="O58" i="15"/>
  <c r="M99" i="15"/>
  <c r="M103" i="15" s="1"/>
  <c r="M93" i="15"/>
  <c r="W85" i="15"/>
  <c r="W91" i="15"/>
  <c r="W78" i="15"/>
  <c r="S62" i="15"/>
  <c r="U26" i="15"/>
  <c r="N58" i="15"/>
  <c r="N62" i="15"/>
  <c r="N41" i="15"/>
  <c r="N43" i="15" s="1"/>
  <c r="L40" i="15"/>
  <c r="L42" i="15" s="1"/>
  <c r="M41" i="15"/>
  <c r="M58" i="15"/>
  <c r="M62" i="15"/>
  <c r="U13" i="15"/>
  <c r="U11" i="15" s="1"/>
  <c r="T11" i="15"/>
  <c r="T6" i="15"/>
  <c r="T92" i="15"/>
  <c r="W92" i="15" s="1"/>
  <c r="H41" i="15"/>
  <c r="H43" i="15" s="1"/>
  <c r="I41" i="15"/>
  <c r="J41" i="15"/>
  <c r="K58" i="15"/>
  <c r="K65" i="15" s="1"/>
  <c r="K40" i="15"/>
  <c r="K42" i="15" s="1"/>
  <c r="L58" i="15"/>
  <c r="L65" i="15" s="1"/>
  <c r="I40" i="15"/>
  <c r="I42" i="15" s="1"/>
  <c r="L41" i="15"/>
  <c r="K41" i="15"/>
  <c r="K43" i="15" s="1"/>
  <c r="J40" i="15"/>
  <c r="J42" i="15" s="1"/>
  <c r="H40" i="15"/>
  <c r="H42" i="15" s="1"/>
  <c r="E100" i="15"/>
  <c r="H58" i="15"/>
  <c r="E101" i="15"/>
  <c r="I58" i="15"/>
  <c r="I65" i="15" s="1"/>
  <c r="T91" i="15"/>
  <c r="T101" i="15" s="1"/>
  <c r="W100" i="15" s="1"/>
  <c r="S99" i="15"/>
  <c r="S103" i="15" s="1"/>
  <c r="S93" i="15"/>
  <c r="T21" i="15"/>
  <c r="T31" i="15"/>
  <c r="E122" i="15"/>
  <c r="K93" i="15"/>
  <c r="N93" i="15"/>
  <c r="N100" i="15"/>
  <c r="N103" i="15" s="1"/>
  <c r="T85" i="15"/>
  <c r="T100" i="15" s="1"/>
  <c r="W99" i="15" s="1"/>
  <c r="P93" i="15"/>
  <c r="J58" i="15"/>
  <c r="J65" i="15" s="1"/>
  <c r="O99" i="15"/>
  <c r="O103" i="15" s="1"/>
  <c r="M59" i="15"/>
  <c r="T59" i="15" s="1"/>
  <c r="H93" i="15"/>
  <c r="U7" i="15"/>
  <c r="U6" i="15" s="1"/>
  <c r="K103" i="15"/>
  <c r="P99" i="15"/>
  <c r="P103" i="15" s="1"/>
  <c r="U34" i="15"/>
  <c r="U31" i="15" s="1"/>
  <c r="I99" i="15"/>
  <c r="I103" i="15" s="1"/>
  <c r="H62" i="15"/>
  <c r="U22" i="15"/>
  <c r="U21" i="15" s="1"/>
  <c r="H103" i="15"/>
  <c r="Q93" i="15"/>
  <c r="Q103" i="15"/>
  <c r="T41" i="15" l="1"/>
  <c r="T43" i="15" s="1"/>
  <c r="U41" i="15"/>
  <c r="U43" i="15" s="1"/>
  <c r="S52" i="15"/>
  <c r="S43" i="15"/>
  <c r="J52" i="15"/>
  <c r="J43" i="15"/>
  <c r="L52" i="15"/>
  <c r="L43" i="15"/>
  <c r="M52" i="15"/>
  <c r="M43" i="15"/>
  <c r="O52" i="15"/>
  <c r="O43" i="15"/>
  <c r="I52" i="15"/>
  <c r="I53" i="15" s="1"/>
  <c r="I43" i="15"/>
  <c r="P52" i="15"/>
  <c r="P43" i="15"/>
  <c r="Q52" i="15"/>
  <c r="Q43" i="15"/>
  <c r="R52" i="15"/>
  <c r="R43" i="15"/>
  <c r="O65" i="15"/>
  <c r="R65" i="15"/>
  <c r="T62" i="15"/>
  <c r="T58" i="15"/>
  <c r="H65" i="15"/>
  <c r="Q65" i="15"/>
  <c r="M65" i="15"/>
  <c r="N65" i="15"/>
  <c r="P65" i="15"/>
  <c r="U40" i="15"/>
  <c r="U42" i="15" s="1"/>
  <c r="F121" i="15"/>
  <c r="W93" i="15"/>
  <c r="F120" i="15"/>
  <c r="F118" i="15"/>
  <c r="F119" i="15"/>
  <c r="T40" i="15"/>
  <c r="T42" i="15" s="1"/>
  <c r="T45" i="15" s="1"/>
  <c r="T102" i="15"/>
  <c r="W101" i="15" s="1"/>
  <c r="E102" i="15"/>
  <c r="R105" i="15"/>
  <c r="K105" i="15"/>
  <c r="M95" i="15"/>
  <c r="P105" i="15"/>
  <c r="N95" i="15"/>
  <c r="M105" i="15"/>
  <c r="K95" i="15"/>
  <c r="N105" i="15"/>
  <c r="S95" i="15"/>
  <c r="S105" i="15"/>
  <c r="O105" i="15"/>
  <c r="I95" i="15"/>
  <c r="P95" i="15"/>
  <c r="H105" i="15"/>
  <c r="K52" i="15"/>
  <c r="I105" i="15"/>
  <c r="O95" i="15"/>
  <c r="Q95" i="15"/>
  <c r="Q105" i="15"/>
  <c r="N52" i="15"/>
  <c r="R95" i="15"/>
  <c r="H52" i="15"/>
  <c r="H53" i="15" s="1"/>
  <c r="H95" i="15"/>
  <c r="J53" i="15" l="1"/>
  <c r="K53" i="15" s="1"/>
  <c r="L53" i="15" s="1"/>
  <c r="T47" i="15"/>
  <c r="T48" i="15" s="1"/>
  <c r="T46" i="15"/>
  <c r="T65" i="15"/>
  <c r="F112" i="15"/>
  <c r="F115" i="15"/>
  <c r="F108" i="15"/>
  <c r="F110" i="15"/>
  <c r="F116" i="15"/>
  <c r="F117" i="15"/>
  <c r="F113" i="15"/>
  <c r="F114" i="15"/>
  <c r="F109" i="15"/>
  <c r="F111" i="15"/>
  <c r="F122" i="15"/>
  <c r="M53" i="15" l="1"/>
  <c r="N53" i="15" s="1"/>
  <c r="O53" i="15" s="1"/>
  <c r="P53" i="15" s="1"/>
  <c r="Q53" i="15" s="1"/>
  <c r="R53" i="15" s="1"/>
  <c r="S53" i="15" s="1"/>
  <c r="J78" i="15" l="1"/>
  <c r="J99" i="15" s="1"/>
  <c r="J103" i="15" s="1"/>
  <c r="J93" i="15" l="1"/>
  <c r="J95" i="15" s="1"/>
  <c r="J105" i="15" l="1"/>
  <c r="L78" i="15" l="1"/>
  <c r="L93" i="15" s="1"/>
  <c r="L95" i="15" s="1"/>
  <c r="E99" i="15" l="1"/>
  <c r="E103" i="15" s="1"/>
  <c r="L99" i="15"/>
  <c r="L103" i="15" s="1"/>
  <c r="L105" i="15" s="1"/>
  <c r="T78" i="15"/>
  <c r="T93" i="15" s="1"/>
  <c r="T99" i="15" l="1"/>
  <c r="T95" i="15"/>
  <c r="T103" i="15" l="1"/>
  <c r="T105" i="15" s="1"/>
  <c r="W98" i="15"/>
  <c r="W102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Javiera Romero Ibáñez</author>
  </authors>
  <commentList>
    <comment ref="H5" authorId="0" shapeId="0" xr:uid="{CF2A8FA0-CA1F-4A27-8C6F-C56931CF3FCE}">
      <text>
        <r>
          <rPr>
            <sz val="9"/>
            <color indexed="81"/>
            <rFont val="Tahoma"/>
            <family val="2"/>
          </rPr>
          <t xml:space="preserve">Aporte Municipal de M$26.104,053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Oro Tapia</author>
  </authors>
  <commentList>
    <comment ref="B5" authorId="0" shapeId="0" xr:uid="{41539912-A24F-4CA2-A01A-D8A848663231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27.ago.21
o. sanitarias: falta el ultimo e.p.(con cargo a retenciones)
oo.cc contratado (M$716.000). Inicio 10.08.21 y termino 23.12.21
falta licitar climatizacion y cte débiles
clim</t>
        </r>
      </text>
    </comment>
    <comment ref="B84" authorId="0" shapeId="0" xr:uid="{7F24E608-F0A5-4B14-9A40-F8CC13936022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contempla 09 escuelas</t>
        </r>
      </text>
    </comment>
  </commentList>
</comments>
</file>

<file path=xl/sharedStrings.xml><?xml version="1.0" encoding="utf-8"?>
<sst xmlns="http://schemas.openxmlformats.org/spreadsheetml/2006/main" count="4364" uniqueCount="1023">
  <si>
    <t>DIVISIÓN DE PRESUPUESTO E INVERSIÓN REGIONAL - GOBIERNO REGIONAL COQUIMBO</t>
  </si>
  <si>
    <t>DEPARTAMENTO DE PRESUPUESTO</t>
  </si>
  <si>
    <t>POR SUBTÍTULO (M$)</t>
  </si>
  <si>
    <t>EJECUTADO</t>
  </si>
  <si>
    <t>SUBT.</t>
  </si>
  <si>
    <t>ÍTEM</t>
  </si>
  <si>
    <t>DENOMINACIÓN</t>
  </si>
  <si>
    <t>PPTO. INICIAL</t>
  </si>
  <si>
    <t>PPTO. VGTE.</t>
  </si>
  <si>
    <t>ASIGNADO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</si>
  <si>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</si>
  <si>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</si>
  <si>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</si>
  <si>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</si>
  <si>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</si>
  <si>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</si>
  <si>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</si>
  <si>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</si>
  <si>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</si>
  <si>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</si>
  <si>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</si>
  <si>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</si>
  <si>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POR EJECUTAR </t>
  </si>
  <si>
    <t>Bienes y Servicios de Consumo</t>
  </si>
  <si>
    <t>Transferencias Corrientes</t>
  </si>
  <si>
    <t>01</t>
  </si>
  <si>
    <t>Al Sector Privado</t>
  </si>
  <si>
    <t>03</t>
  </si>
  <si>
    <t>A Otras Entidades Públicas</t>
  </si>
  <si>
    <t>Otros Gastos Corrientes</t>
  </si>
  <si>
    <t>02</t>
  </si>
  <si>
    <t>Compensaciones por daños a terceros y/o a la propiedad.</t>
  </si>
  <si>
    <t>Adquisición de Activos no Financieros</t>
  </si>
  <si>
    <t>Terrenos</t>
  </si>
  <si>
    <t>Edificios</t>
  </si>
  <si>
    <t>Vehículos</t>
  </si>
  <si>
    <t>04</t>
  </si>
  <si>
    <t>Mobiliario y Otros</t>
  </si>
  <si>
    <t>05</t>
  </si>
  <si>
    <t>Máquinas y Equipos</t>
  </si>
  <si>
    <t>06</t>
  </si>
  <si>
    <t>Equipos Informáticos</t>
  </si>
  <si>
    <t>0</t>
  </si>
  <si>
    <t>07</t>
  </si>
  <si>
    <t>Programas Informáticos</t>
  </si>
  <si>
    <t>99</t>
  </si>
  <si>
    <t>Otros Activos no Financieros</t>
  </si>
  <si>
    <t>Iniciativas de Inversión</t>
  </si>
  <si>
    <t>Estudios Básicos</t>
  </si>
  <si>
    <t>Proyectos</t>
  </si>
  <si>
    <t>Programas de Inversión</t>
  </si>
  <si>
    <t>Anticipos a Contratistas</t>
  </si>
  <si>
    <t>Recuperación de Anticipos a Contratistas</t>
  </si>
  <si>
    <t>Transferencia de Capital</t>
  </si>
  <si>
    <t>Al Gobierno Central</t>
  </si>
  <si>
    <t>A otras entidades Públicas</t>
  </si>
  <si>
    <t>Servicio de la Deuda</t>
  </si>
  <si>
    <t>Deuda flotante</t>
  </si>
  <si>
    <t>Saldo final de caja</t>
  </si>
  <si>
    <t>TOTALES</t>
  </si>
  <si>
    <t>MARCO SUBDERE</t>
  </si>
  <si>
    <t>% Desembolsado respecto al Marco Vgte.</t>
  </si>
  <si>
    <t>% Desembolsado respecto al Marco Vgte sin considerar Subtitulos 32-34-35-y 33,02</t>
  </si>
  <si>
    <t>% Desembolsado óptimo</t>
  </si>
  <si>
    <t>Por cumplir</t>
  </si>
  <si>
    <t>% Excedido</t>
  </si>
  <si>
    <t>% Por Cumplir</t>
  </si>
  <si>
    <t>Monto M$</t>
  </si>
  <si>
    <t>TOTALES SUBDERE</t>
  </si>
  <si>
    <t>ACUMULATIVO</t>
  </si>
  <si>
    <t>COMPORTAMIENTO MENSUAL GASTO PRESUPUESTARIO M$</t>
  </si>
  <si>
    <t>EJECUTADO M$</t>
  </si>
  <si>
    <t>Deuda Flotante</t>
  </si>
  <si>
    <t>Total M$</t>
  </si>
  <si>
    <t>NOTA: Se considera la deuda flotante por la suma de M$ 2.782.890 - Subtitulo 34</t>
  </si>
  <si>
    <t>POR COMUNA M$ 2024</t>
  </si>
  <si>
    <t>POR COMUNA (M$)</t>
  </si>
  <si>
    <t>POR COMUNA</t>
  </si>
  <si>
    <t>AÑO</t>
  </si>
  <si>
    <t>COMUNA</t>
  </si>
  <si>
    <t>Gasto 2024 (M$)</t>
  </si>
  <si>
    <t>Gasto 2025 (M$)</t>
  </si>
  <si>
    <t>ANDACOLLO</t>
  </si>
  <si>
    <t>LA_SERENA</t>
  </si>
  <si>
    <t>COQUIMBO</t>
  </si>
  <si>
    <t>LA_HIGUERA</t>
  </si>
  <si>
    <t>PAIHUANO</t>
  </si>
  <si>
    <t>VICUÑA</t>
  </si>
  <si>
    <t>PROVINCIAL_ELQUI</t>
  </si>
  <si>
    <t>TOTAL ELQUI</t>
  </si>
  <si>
    <t>COMBARBALÁ</t>
  </si>
  <si>
    <t>OVALLE</t>
  </si>
  <si>
    <t>MONTE_PATRIA</t>
  </si>
  <si>
    <t>PUNITAQUI</t>
  </si>
  <si>
    <t>RÍO_HURTADO</t>
  </si>
  <si>
    <t>PROVINCIAL_LIMARÍ</t>
  </si>
  <si>
    <t>TOTAL LIMARÍ</t>
  </si>
  <si>
    <t>CANELA</t>
  </si>
  <si>
    <t>LOS_VILOS</t>
  </si>
  <si>
    <t>ILLAPEL</t>
  </si>
  <si>
    <t>SALAMANCA</t>
  </si>
  <si>
    <t>PROVINCIAL_CHOAPA</t>
  </si>
  <si>
    <t>TOTAL CHOAPA</t>
  </si>
  <si>
    <t>REGIONAL</t>
  </si>
  <si>
    <t>TOTAL REGIÓN DE COQUIMBO</t>
  </si>
  <si>
    <t>NOTA: No se considera la deuda flotante. No corresponde a distribución comunal.</t>
  </si>
  <si>
    <t>PROVINCIA</t>
  </si>
  <si>
    <t>ELQUI</t>
  </si>
  <si>
    <t>LIMARÍ</t>
  </si>
  <si>
    <t>CHOAPA</t>
  </si>
  <si>
    <t>TOTAL</t>
  </si>
  <si>
    <t>AÑO ACUERDO</t>
  </si>
  <si>
    <t>GASTO AÑO PPTARIO 2025 M$</t>
  </si>
  <si>
    <t>2020</t>
  </si>
  <si>
    <t>2021</t>
  </si>
  <si>
    <t>2022</t>
  </si>
  <si>
    <t xml:space="preserve">DEPARTAMENTO DE PRESUPUESTO </t>
  </si>
  <si>
    <t>GOBIERNO REGIONAL DE COQUIMBO</t>
  </si>
  <si>
    <t>PROGRAMADO M$ MARCO DISTRIBUIDO 2025</t>
  </si>
  <si>
    <t>EJECUTADO M$ 2025</t>
  </si>
  <si>
    <t xml:space="preserve"> </t>
  </si>
  <si>
    <t>CODIGO</t>
  </si>
  <si>
    <t>SUBT</t>
  </si>
  <si>
    <t>ASIG</t>
  </si>
  <si>
    <t>ETAPA</t>
  </si>
  <si>
    <t>NOMBRE INICIATIVA</t>
  </si>
  <si>
    <t>SECTOR</t>
  </si>
  <si>
    <t>Nº ACUERDO</t>
  </si>
  <si>
    <t>COSTO TOTAL (M$)</t>
  </si>
  <si>
    <t>UNIDAD TÉCNICA / UNIDAD RECEPTORA DE RECURSOS</t>
  </si>
  <si>
    <t>ESTADO EJECUCIÓN INICIATIVA</t>
  </si>
  <si>
    <t>ASIGNADO M$ 2025</t>
  </si>
  <si>
    <t>EJECUCIÓN</t>
  </si>
  <si>
    <t xml:space="preserve">AMPLIACIÓN EDIFICIO CONSISTORIAL NUEVO EMPLAZAMIENTO, ANDACOLLO </t>
  </si>
  <si>
    <t>MULTISECTORIAL</t>
  </si>
  <si>
    <t>DIRECCIÓN REGIONAL DE ARQUITECTURA</t>
  </si>
  <si>
    <t>LICITACIÓN EQUIPOS Y EQUIPAMIENTO</t>
  </si>
  <si>
    <t>MEJORAMIENTO EDIFICIO CONSISTORIAL, OVALLE</t>
  </si>
  <si>
    <t>MUNICIPALIDAD DE OVALLE</t>
  </si>
  <si>
    <t>DISEÑO</t>
  </si>
  <si>
    <t>AMPLIACION PASEO SEMIPEATONAL CALLE J.T. URMENETA, ANDACOLLO</t>
  </si>
  <si>
    <t>VIVIENDA Y DESARROLLO URBANO</t>
  </si>
  <si>
    <t>MUNICIPALIDAD DE ANDACOLLO</t>
  </si>
  <si>
    <t>AMPLIACION SERVICIO MEDICO LEGAL DE LA SERENA</t>
  </si>
  <si>
    <t>JUSTICIA</t>
  </si>
  <si>
    <t>TRANSFERENCIA DE BIENES</t>
  </si>
  <si>
    <t>CONSERVACION CESFAM PEDRO AGUIRRE CERDA, LA SERENA</t>
  </si>
  <si>
    <t>SALUD</t>
  </si>
  <si>
    <t>MUNICIPALIDAD DE LA SERENA</t>
  </si>
  <si>
    <t>CONSERVACION EDIFICIO BICRIM LOS VILOS</t>
  </si>
  <si>
    <t>SEGURIDAD PUBLICA</t>
  </si>
  <si>
    <t>MUNICIPALIDAD DE LOS VILOS</t>
  </si>
  <si>
    <t>LICITACIÓN</t>
  </si>
  <si>
    <t>CONST. CANCHA SINTETICA COMPLEJO DEPORTIVO LAS ROSAS, COQUIMBO.</t>
  </si>
  <si>
    <t>DEPORTES</t>
  </si>
  <si>
    <t>CONST. CUARTEL DE BOMBEROS CUARTA CIA, COMUNA DE OVALLE</t>
  </si>
  <si>
    <t>9017 // 9490</t>
  </si>
  <si>
    <t>MUNICIPALIDAD DE COQUIMBO</t>
  </si>
  <si>
    <t>CONST. PARQUE CHAÑARAL ALTO, COMUNA DE MTE PATRIA</t>
  </si>
  <si>
    <t>MUNICIPALIDAD DE MONTE PATRIA</t>
  </si>
  <si>
    <t>CONST. TECHADOS VARIOS ESTABLECIMIENTOS  EDUCACIONALES, COM. DE PUNITAQUI</t>
  </si>
  <si>
    <t>EDUCACION, CULTURA Y PATRIMONIO</t>
  </si>
  <si>
    <t>MUNICIPALIDAD DE PUNITAQUI</t>
  </si>
  <si>
    <t xml:space="preserve">CONSTRUCCÍON CASA DE ACOGIDA DE COMBARBALÁ- COMBARBALÁ </t>
  </si>
  <si>
    <t>ADJUDICADO</t>
  </si>
  <si>
    <t>CONSTRUCCIÓN CASA DE LA CULTURA COMUNAL, LOS VILOS</t>
  </si>
  <si>
    <t>TERMINADO</t>
  </si>
  <si>
    <t>CONSTRUCCION CENTRO COMUNITARIO COGOTI 18, COMBARBALA</t>
  </si>
  <si>
    <t>MUNICIPALIDAD DE COMBARBALÁ</t>
  </si>
  <si>
    <t>MODIFICACIÓN DE CONVENIO EN TRÁMITE</t>
  </si>
  <si>
    <t>CONSTRUCCIÓN CENTRO COMUNITARIO EL SAUCE COMUNA DE COQUIMBO</t>
  </si>
  <si>
    <t>REEVALUACIÓN</t>
  </si>
  <si>
    <t>CONSTRUCCIÓN CENTRO DE DIÁLISIS HOSPITAL VICUÑA</t>
  </si>
  <si>
    <t>SERVICIO SALUD COQUIMBO</t>
  </si>
  <si>
    <t>CONSTRUCCIÓN CENTRO DE ESTIMULACIÓN TEMPRANA PARA NIÑOS/AS CON SINDROME DE DOWN, LA SERENA</t>
  </si>
  <si>
    <t>CONSTRUCCION EDIFICIO COMUNITARIO SECTOR CENTRO DE COQUIMBO</t>
  </si>
  <si>
    <t>CONSTRUCCION EDIFICIO CONSISTORIAL  COMUNA DE LA SERENA</t>
  </si>
  <si>
    <t>LIQUIDACIÓN ANTICIPADA</t>
  </si>
  <si>
    <t>CONSTRUCCION EDIFICIO CONSISTORIAL DE COQUIMBO</t>
  </si>
  <si>
    <t>CONSTRUCCIÓN ESTADIO MUNICIPAL DE CANELA BAJA</t>
  </si>
  <si>
    <t>MUNICIPALIDAD DE CANELA</t>
  </si>
  <si>
    <t>CONSTRUCCION JARDIN INFANTIL Y SALA CUNA LOS CHANGUITOS</t>
  </si>
  <si>
    <t>CONSTRUCCION MERCADO DEL MAR</t>
  </si>
  <si>
    <t>TURISMO Y COMERCIO</t>
  </si>
  <si>
    <t>CONSTRUCCIÓN OBRAS DE URBANIZACIÓN BELLAVISTA - CERES - QUEBRADA DE MONARDEZ, LA SERENA</t>
  </si>
  <si>
    <t>RECURSOS HIDRICOS</t>
  </si>
  <si>
    <t>FACTIBILIDAD</t>
  </si>
  <si>
    <t>CONSTRUCCIÓN OBRAS DE URBANIZACIÓN LOCALIDAD DE PEDREGAL, MONTE PATRIA</t>
  </si>
  <si>
    <t>CONSTRUCCION P.T.A.S Y RED DE ALCANTARILLADO DE CAREN, COMUNA DE MONTE PATRIA</t>
  </si>
  <si>
    <t>RECURSOS HIDRICOS / EVACUACION DISPOSICION FINAL AGUAS SERVIDAS</t>
  </si>
  <si>
    <t>9771 // 9830</t>
  </si>
  <si>
    <t>CONSTRUCCION PARQUE RECREATIVO SAN JOAQUÍN, COMUNA DE LA SERENA</t>
  </si>
  <si>
    <t>MODIFICACIÓN DE CONVENIO TOTALMENTE TRAMITADA</t>
  </si>
  <si>
    <t>CONSTRUCCION PARQUE URBANO SECTOR EL BOSQUE, LOS VILOS</t>
  </si>
  <si>
    <t>CONSTRUCCIÓN PARQUE URBANO VILLA LA UNIÓN PISCO ELQUI</t>
  </si>
  <si>
    <t>MUNICIPALIDAD DE PAIHUANO</t>
  </si>
  <si>
    <t>CONSTRUCCION PASEO MIRADOR LARRAIN ALCALDE, COMUNA DE LA SERENA</t>
  </si>
  <si>
    <t>CONSTRUCCION PASEO PEATONAL QUEBRADA EL CONSUELO, COMUNA DE SALAMANCA</t>
  </si>
  <si>
    <t>9725 // 9831</t>
  </si>
  <si>
    <t>MUNICIPALIDAD DE SALAMANCA</t>
  </si>
  <si>
    <t>PROYECTO INVIABLE DESISTIDO POR UT</t>
  </si>
  <si>
    <t>CONSTRUCCIÓN PLAZA DE ABASTOS EN LAS COMPAÑIAS, LA SERENA</t>
  </si>
  <si>
    <t>CONSTRUCCION PLAZA DE ABASTOS VILLA LAMBERT, SECTOR LAS COMPAÑIAS, LA SERENA</t>
  </si>
  <si>
    <t>CONSTRUCCION RED ELECTRICA DE CENTINELA II - CARRIZAL, COMBARBALA</t>
  </si>
  <si>
    <t>ENERGIA</t>
  </si>
  <si>
    <t>COMPAÑÍA GENERAL DE ELECTRICIDAD</t>
  </si>
  <si>
    <t>CONSTRUCCION SISTEMA DE ELECTRIF. RURAL AJIAL DE QUILES PUNITAQUI</t>
  </si>
  <si>
    <t>CONSTRUCCIÓN URBANIZACIÓN BÁSICA LOCALIDAD DE ALTOVALSOL, COMUNA DE LA SERENA (DISEÑO)</t>
  </si>
  <si>
    <t>N/A</t>
  </si>
  <si>
    <t>DEUDA FLOTANTE</t>
  </si>
  <si>
    <t>S/D</t>
  </si>
  <si>
    <t>-</t>
  </si>
  <si>
    <t>DIAGNÓSTICO TRANSPORTE PÚBLICO CONURBACIÓN COQUIMBO - LA SERENA</t>
  </si>
  <si>
    <t>TRANSPORTE</t>
  </si>
  <si>
    <t>SUBSECRETARÍA DE TRANSPORTES</t>
  </si>
  <si>
    <t>ESTUDIOS, PROYECTOS Y PROGRAMAS - SIN DISTRIBUIR</t>
  </si>
  <si>
    <t>S/ASIGNAR</t>
  </si>
  <si>
    <t>HABILITACION CASA DE LA MEMORIA COMUNA COQUIMBO</t>
  </si>
  <si>
    <t>HABILITACION CENTRO DE EXTENSION CULTURAL PARA EL PATRIMONIO, COMUNA DE LA SERENA</t>
  </si>
  <si>
    <t>MEJOR. CANCHA DE FUTBOL DE SERON, RIO HURTADO</t>
  </si>
  <si>
    <t>MUNICIPALIDAD DE RÍO HURTADO</t>
  </si>
  <si>
    <t>MEJORAMIENTO CANCHA DE FUTBOL  DE HURTADO</t>
  </si>
  <si>
    <t>MEJORAMIENTO ESTADIO MUNICIPAL, VICUÑA</t>
  </si>
  <si>
    <t>MUNICIPALIDAD DE VICUÑA</t>
  </si>
  <si>
    <t>PERDIÓ RATE RS</t>
  </si>
  <si>
    <t>MEJORAMIENTO INTEGRAL ACCESO SUR COMUNA DE ILLAPEL</t>
  </si>
  <si>
    <t>MUNICIPALIDAD DE ILLAPEL</t>
  </si>
  <si>
    <t>MEJORAMIENTO PARQUE URBANO AVENIDA SUR, COMBARBALA</t>
  </si>
  <si>
    <t>MEJORAMIENTO PLAZA SERGIO SILVA, LOS VILOS</t>
  </si>
  <si>
    <t>MEJORAMIENTO PLAZA DE ARMAS DE PICHASCA, COMUNA DE RIO HURTADO</t>
  </si>
  <si>
    <t>REPOSICION CENTRO COMUNITARIO DE REHABILITACION, COMUNA DE MONTE PATRIA</t>
  </si>
  <si>
    <t>REPOSICIÓN CENTRO DE SALUD DE CAREN, COMUNA DE MONTE PATRIA</t>
  </si>
  <si>
    <t>REPOSICIÓN COLEGIO YUNGAY DE EDUCACIÓN ESPECIAL OVALLE</t>
  </si>
  <si>
    <t>REPOSICIÓN CUARTEL 1° COMPAÑÍA DE BOMBEROS, SINDEMPART, COQUIMBO</t>
  </si>
  <si>
    <t>9017 // 9203</t>
  </si>
  <si>
    <t>REPOSICIÓN CUARTEL CUERPO DE BOMBEROS DE LA HIGUERA</t>
  </si>
  <si>
    <t>MUNICIPALIDAD DE LA HIGUERA</t>
  </si>
  <si>
    <t>REPOSICIÓN ESCUELA BÁSICA EL CRISOL,  OVALLE</t>
  </si>
  <si>
    <t>REPOSICION ESCUELA DE CONCENTRACION FRONTERIZA, COMUNA MTE PATRIA</t>
  </si>
  <si>
    <t>REPOSICIÓN ESCUELA MARCOS RIGOBERTO PIZARRO, SAN JULIAN, OVALLE</t>
  </si>
  <si>
    <t>DIRECCIÓN REGIONAL DE ARQUITECUTRA // MUNICIPALIDAD DE OVALLE</t>
  </si>
  <si>
    <t>REPOSICIÓN ESCUELA SAN ANTONIO DE LA VILLA, BARRAZA, COMUNA DE OVALLE</t>
  </si>
  <si>
    <t>REPOSICIÓN HOGAR ESTUDIANTIL - COMBARBALA</t>
  </si>
  <si>
    <t>TERMINO DE CONVENIO</t>
  </si>
  <si>
    <t>REPOSICION PLAZA DE ACCESO, LOS VILOS</t>
  </si>
  <si>
    <t>REPOSICION POSTA DE SALUD RURAL CUNCUMEN, COMUNA DE SALAMANCA</t>
  </si>
  <si>
    <t>REPOSICION POSTA DE SALUD RURAL HUINTIL</t>
  </si>
  <si>
    <t>REPOSICION POSTA DE TAHUINCO, COMUNA DE SALAMANCA</t>
  </si>
  <si>
    <t>9771 // 9831</t>
  </si>
  <si>
    <t>REPOSICION POSTA SALUD RURAL CALETA HORNOS, LA HIGUERA</t>
  </si>
  <si>
    <t>REPOSICION POSTA SALUD RURAL DE LLIMPO, COMUNA DE SALAMANCA</t>
  </si>
  <si>
    <t>REPOSICION RESIDENCIA DISCAPACIDAD SENAME COQUIMBO</t>
  </si>
  <si>
    <t>9772 // 9831</t>
  </si>
  <si>
    <t>REPOSICION RETEN DE CARABINEROS CHAÑARAL ALTO, MONTE PATRIA</t>
  </si>
  <si>
    <t>REPOSICION TENENCIA PAIHUANO, COMUNA DE PAIHUANO</t>
  </si>
  <si>
    <t xml:space="preserve">SEGURIDAD PUBLICA </t>
  </si>
  <si>
    <t>RESTAURACION CASA GABRIELA MISTRAL EN LAS COMPAÑIAS, LA SERENA</t>
  </si>
  <si>
    <t>6897 // 7227</t>
  </si>
  <si>
    <t xml:space="preserve">RESTAURACION ESTRUCTURAL IGLESIA SAN VICENTE FERRER, OVALLE </t>
  </si>
  <si>
    <t>EJECUCIÓN (CONSULTORÍA POR ACTUALIZACIÓN DE DISEÑO)</t>
  </si>
  <si>
    <t>CONSTRUCCION ALCANTARILLADO Y SOLUCIONES SANITARIA EL ARENAL, VICUÑA.</t>
  </si>
  <si>
    <t xml:space="preserve">RECURSOS HIDRICOS </t>
  </si>
  <si>
    <t xml:space="preserve">CONSTRUCCIÓN OBRAS DE URBANIZACIÓN BÁSICA LA HIGUERA (**) </t>
  </si>
  <si>
    <t>VIVIENDA</t>
  </si>
  <si>
    <t>CONSTRUCCION OBRAS DE URBANIZACION BASICA PUNTA COLORADA, LA HIGUERA</t>
  </si>
  <si>
    <t>9636 //  9830</t>
  </si>
  <si>
    <t>CONSTRUCCION OBRAS DE URBANIZACION LOCALIDAD EL TRAPICHE, OVALLE</t>
  </si>
  <si>
    <t>CONSTRUCCIÓN OBRAS DE URBANIZACIÓN, LOCALIDAD LAS RAMADAS, PUNITAQUI</t>
  </si>
  <si>
    <t>CONVENIO TOTALMENTE TRAMITADO</t>
  </si>
  <si>
    <t>CONSTRUCCION SOLUCIONES SANITARIAS RECOLETA, OVALLE</t>
  </si>
  <si>
    <t>CONSTRUCCIÓN URBANIZACIÓN LOCALIDAD SAN AGUSTÍN, SALAMANCA</t>
  </si>
  <si>
    <t>CONSTRUCCIONES SOLUCIONES SANITARIAS E INTERMEDIAS PISCO ELQUI, PAIHUANO</t>
  </si>
  <si>
    <t>NORMALIZACION SOLUCIONES SANITARIAS Y URBANIZACION CAIMANES, COMUNA DE LOS VILOS</t>
  </si>
  <si>
    <t>ADQUISICION MAQUINARIA PESADA PARA MANTENCION Y REPARACION DE CAMINOS RURALES, COQUIMBO</t>
  </si>
  <si>
    <t>REPOSICION DE VEHÍCULOS DE MAQUINARIA PESADA PARA LA COMUNA DE OVALLE</t>
  </si>
  <si>
    <t>ADQUISICIÓN 2 CAMIONES ALJIBES DE 10000 LITROS COMUNA DE OVALLE</t>
  </si>
  <si>
    <t>RECURSOS NATURALES Y MEDIO AMBIENTE</t>
  </si>
  <si>
    <t>ADQUISICIÓN DE 2 CAMIONES ALJIBE, COMUNA DE ANDACOLLO</t>
  </si>
  <si>
    <t>REPOSICION DE AMBULANCIAS PARA LA ATENCION PRIMARIA DE SALUD EN LA COMUNA DE COQUIMBO</t>
  </si>
  <si>
    <t>REPOSICION DE AMBULANCIAS PARA LA ATENCION PRIMARIA DE SALUD EN LA COMUNA DE SALAMANCA</t>
  </si>
  <si>
    <t>REPOSICION DE AMBULANCIAS PARA LA ATENCIÓN PRIMARIA DE SALUD EN LA COMUNA DE PUNITAQUI</t>
  </si>
  <si>
    <t>REPOSICION DE AMBULANCIAS PARA LA ATENCIÓN PRIMARIA DE SALUD EN LA COMUNA DE MONTE PATRIA</t>
  </si>
  <si>
    <t>REPOSICION DE AMBULANCIAS PARA LA ATENCIÓN PRIMARIA DE SALUD EN LA COMUNA DE ILLAPEL</t>
  </si>
  <si>
    <t>ADQUISICION DE CAMION EQUIPADO CON ELEVADOR</t>
  </si>
  <si>
    <t>ADQUISICION CAMIÓN RECOLECTOR DE RESIDUOS SÓLIDOS, CANELA</t>
  </si>
  <si>
    <t>ADQUISICION RETROEXCAVADORA, COMUNA DE RIO HURTADO</t>
  </si>
  <si>
    <t>ADQUISICIÓN DE 4 MAQUINARIAS DE ASEO COMUNAL, VICUÑA</t>
  </si>
  <si>
    <t>ADQUISICION DE CAMIONES ALJIBES PARA LA COMUNA DE ILLAPEL</t>
  </si>
  <si>
    <t>REPOSICIÓN CAMIONES RECOLECTORES, RÍO HURTADO</t>
  </si>
  <si>
    <t>REPOSICION  VEHÍCULOS HOSPITAL DOCTOR ANTONIO TIRADO LANAS DE OVALLE</t>
  </si>
  <si>
    <t>ADQUISICION DE CLINICAS MOVILES LA SERENA</t>
  </si>
  <si>
    <t>ADQUISICION DE CAMIONES RECOLECTORES RSD, COMUNA DE SALAMANCA</t>
  </si>
  <si>
    <t>ADQUISICION DOS CAMIONES AJIBLES DE 15.000 LITROS, COMUNA DE PUNITAQUI</t>
  </si>
  <si>
    <t>REPOSICION DE MAQUINARIA MUNICIPAL PARA SERVICIOS COMUNITARIOS, MONTE PATRIA</t>
  </si>
  <si>
    <t>PERDIÓ AT</t>
  </si>
  <si>
    <t>ADQUISICION MAQUINARIA VERTEDERO MUNICIPAL DE MONTE PATRIA</t>
  </si>
  <si>
    <t>REPOSICION CAMION RECOLECTOR ILLAPEL, COMUNA DE ILLAPEL</t>
  </si>
  <si>
    <t>CONECTIVIDAD DE TELECOMUNICACIONES EN LOS TERRITORIOS PIRDT PRIMERA ETAPA.</t>
  </si>
  <si>
    <t>SUBSECRETARÍA DE TELECOMUNICACIONES</t>
  </si>
  <si>
    <t>MAPAS DE RESERVAS DE AGUAS SUBTERRÁNEAS EN EL LIMARÍ</t>
  </si>
  <si>
    <t>INNOVACION PARA LA COMPETITIVIDAD</t>
  </si>
  <si>
    <t>UNIVERSIDAD DE LA SERENA</t>
  </si>
  <si>
    <t>ULS - BOTRICIDAS ORGANICOS PARA CONTROLAR BOTRYTIS CINEREA (40014467-0)</t>
  </si>
  <si>
    <t>COMITES DE AGUA POTABLE RURAL CAP</t>
  </si>
  <si>
    <t>INNOVACION TECNOLOGICA PARA LA ATENCIÓN EN EL SRCEI</t>
  </si>
  <si>
    <t>TRANSFERENCIA FNDR RECUPERACIÓN PYMES REGIÓN DE COQUIMBO</t>
  </si>
  <si>
    <t>MULTISECTORIAL / ADMINISTRACION MULTISECTOR</t>
  </si>
  <si>
    <t>CORFO</t>
  </si>
  <si>
    <t>CAPACITACION BECAS MEDICAS SERVICIO DE SALUD</t>
  </si>
  <si>
    <t>FOMENTO PRODUCTIVO PARA EL DESARROLLO DE LA PESCA ARTESANAL</t>
  </si>
  <si>
    <t>PESCA</t>
  </si>
  <si>
    <t>INDESPA</t>
  </si>
  <si>
    <t>FORTALECIMIENTO DE LAS CAPACIDADES DE INNOVACIÓN</t>
  </si>
  <si>
    <t>ULS PLATAFORMA PARA LA GESTION DE LA SEGURIDAD DE RIEGO</t>
  </si>
  <si>
    <t>ULS TRANSFERENCIA DE BPGH Y AUDITORIAS HIDRICAS</t>
  </si>
  <si>
    <t>ULS OBSERVATORIO PARA SERVICIOS SANITARIOS RURALES</t>
  </si>
  <si>
    <t>ULS SUSTENTABILIDAD HIDRICA PARA AREAS DE SECANO</t>
  </si>
  <si>
    <t>ULS LOS CIELOS OSCUROS DE LA REGIONAL DE COQUIMBO</t>
  </si>
  <si>
    <t>ULS ASTRONOMIA CULTURAL PARA LA PROMOCION DEL ASTROTURISMO</t>
  </si>
  <si>
    <t>ULS UNIDADES PRODUCTIVAS CABRA CRIOLLA Y CARNICOS EN CANELA</t>
  </si>
  <si>
    <t>U. CHILE.. ENERGIA SOLAR, SOLUCIONES GLOBALES PARA PROBLEMAS LOCALES</t>
  </si>
  <si>
    <t>UNIVERSIDAD DE CHILE</t>
  </si>
  <si>
    <t>ULS SISTEMA DE INTELIGENCIA TURISTICO REGION DE COQUIMBO</t>
  </si>
  <si>
    <t>U. CHILE, RIEGO INTELIGENTE AGRICULTURA 4.0 PRODUCTIVIDAD FRUTALES</t>
  </si>
  <si>
    <t>ULS AGRICULTURA INTELIGENTE PARA MEJORAR LA PRODUCTIVIDAD</t>
  </si>
  <si>
    <t>ULS LUPINO UNA ALTERNATIVA ECOLOGICA PARA LA AGRICULTURA</t>
  </si>
  <si>
    <t>ULS SOLTEC WATER APPS PARA ADMINISTRADORES DE AGUA RURAL</t>
  </si>
  <si>
    <t>PROCHILE COMPETITIVIDAD Y PROMOCION COMERCIAL CATEGORIA PISCO</t>
  </si>
  <si>
    <t>PROCHILE</t>
  </si>
  <si>
    <t>SANEAMIENTO REZAGO ETAPA FINAL COQUIMBO 2022 - 2024 (40037922-0)</t>
  </si>
  <si>
    <t>SEREMI BIENES NACIONALES</t>
  </si>
  <si>
    <t>CORFO, INNOVACION Y SUSTENTABILIDAD EN EMPRESAS REGIONALES</t>
  </si>
  <si>
    <t>CORFO, INNOVACION SOCIAL EN LA REGION DE COQUIMBO</t>
  </si>
  <si>
    <t>CORFO, FORTALECIMIENTO DE LAS CAPACIDADES DE EMPRENDIMIENTO SUSTENTABLE</t>
  </si>
  <si>
    <t>ENFOQUE DE MANEJO SUSTENTABLE DE LA TIERRA EN LA REGIÓN DE COQUIMBO (40036815-0)</t>
  </si>
  <si>
    <t>CONAF</t>
  </si>
  <si>
    <t>TRANSFERENCIA DESARROLLO SOSTENIBLE DE LA MINERÍA DE MENOR ESCALA DE LA REGIÓN DE COQUIMBO</t>
  </si>
  <si>
    <t>MINERIA</t>
  </si>
  <si>
    <t>SUBSECRETARÍA DE MINERÍA</t>
  </si>
  <si>
    <t>EQUIPAMIENTO CONSTRUCCIÓN Y ADQUISICIÓN DE EQUIPAMIENTO CIENTÍFICO PARA EL LABORATORIO SATREP</t>
  </si>
  <si>
    <t>CONVENIO EN TRÁMITE</t>
  </si>
  <si>
    <t>PROGRAMA RUTA SOSTENIBLE, SOSTENIBILIDAD Y ECONOMÍA CIRCULAR EN EMPRENDIMIENTOS Y NEGOCIOS DE LAS MIPES DE LA REGIÓN DE COQUIMBO</t>
  </si>
  <si>
    <t>SERCOTEC</t>
  </si>
  <si>
    <t>TRANSFERENCIA DESARROLLO MYPES, EMPRENDEDORES Y GRUPOS EMPRESARIALES ZONAS REZAGADAS</t>
  </si>
  <si>
    <t>TRANSFERENCIA APOYO AL DESARROLLO SOSTENIBLE DEL TERRITORIO ZONAS REZAGADAS</t>
  </si>
  <si>
    <t>TRANSFERENCIA RECUPERACIÓN Y PROMOCIÓN DE LA SUSTENTABILIDAD DE MIPYMES (zr)</t>
  </si>
  <si>
    <t>TRANSFERENCIA APOYO AL DESARROLLO SOSTENIBLE DE LAS EMPRESAS REGIONALES</t>
  </si>
  <si>
    <t>TRANSFERENCIA, FORTALECIMIENTO, COMPETITIVIDAD Y DESARROLLO SUSTENTABLE DEL SECTOR TURISMO</t>
  </si>
  <si>
    <t>SERNATUR</t>
  </si>
  <si>
    <t>CONST. COMPLEJO DEPORTIVO Y OBRAS COMPLEMENTARIAS VEGAS SUR</t>
  </si>
  <si>
    <t>CONSTRUCCION CUARTEL DE BOMBEROS LOCALIDAD HURTADO, RIO HURTADO</t>
  </si>
  <si>
    <t>CONSTRUCCION OBRAS DE URBANIZACION CH. DE CAREN, MONTE PATRIA</t>
  </si>
  <si>
    <t>AGUA POTABLE Y ALCANTARILLADO</t>
  </si>
  <si>
    <t>CONSTRUCCION POSTA DE SALUD RURAL DE PICHIDANGUI, LOS VILOS</t>
  </si>
  <si>
    <t>HABILITACIÓN SALA PARA RESONADOR MAGNETICO Y ADECUACIONES EN U. IMAGENOLOGIA H. COQUIMBO</t>
  </si>
  <si>
    <t>REPOSICION ESCUELA BASICA CANELA ALTA CANELA</t>
  </si>
  <si>
    <t>REPOSICION POSTA DE SALUD RURAL DE GUANAQUEROS, COQUIMBO</t>
  </si>
  <si>
    <t>001</t>
  </si>
  <si>
    <t>ADQUISICION CARRO DE RESCATE PESADO 4X4 CON GRÚA PLUMA, 1ª COMPAÑÍA DE BOMBEROS COQUIMBO</t>
  </si>
  <si>
    <t>JUNTA NACIONAL DE BOMBEROS DE CHILE</t>
  </si>
  <si>
    <t>ADQUISICIÓN CARROS MULTIPROPOSITO SEMIURBANO PARA C. BOMBEROS LOS VILOS, PUNITAQUI Y VICUÑA</t>
  </si>
  <si>
    <t>ADQUISICION EQUIPAMIENTO DE PROTECCION PERSONAL PARA BOMBEROS REGION DE COQUIMBO</t>
  </si>
  <si>
    <t>EN PROCESO DE CIERRE ADM</t>
  </si>
  <si>
    <t>FORMULACIÓN</t>
  </si>
  <si>
    <t>REPOSICION CARRO BOMBA SEMI URBANO, SÉPTIMA COMPAÑÍA DE BOMBEROS DE COQUIMBO.</t>
  </si>
  <si>
    <t>REPOSICION CARRO BOMBA, CUERPO DE BOMBEROS COMBARBALÁ</t>
  </si>
  <si>
    <t>REPOSICIÓN DE CARRO BOMBA MULTIPROPOSITO PARA LA QUINTA COMPAÑÍA DE BOMBEROS COQUIMBO</t>
  </si>
  <si>
    <t>010</t>
  </si>
  <si>
    <t>APLICACIÓN LETRA A) ART. CUARTO TRANSITORIO LEY Nº 20.378 - PROGRAMAS RENUEVA TU MICRO Y RENUEVA TU COLECTIVO (RTM-RTC)</t>
  </si>
  <si>
    <t>5125 // 7360</t>
  </si>
  <si>
    <t>GOBIERNO REGIONAL</t>
  </si>
  <si>
    <t>Concurso de Vinculación con la Comunidad - PRIVADO</t>
  </si>
  <si>
    <t>Concurso de Vinculación con la Comunidad - PÚBLICO</t>
  </si>
  <si>
    <t>112</t>
  </si>
  <si>
    <t>REPOSICION VEHICULOS MUNICIPALES PAIHUANO</t>
  </si>
  <si>
    <t>130</t>
  </si>
  <si>
    <t>REPOSICION DE AMBULANCIAS PARA LA ATENCIÓN PRIMARIA DE SALUD EN LA SERENA</t>
  </si>
  <si>
    <t>131</t>
  </si>
  <si>
    <t>REPOSICION DE AMBULANCIAS PARA CENTROS DE ATENCIÓN PRIMARIA DE SALUD COMUNA DE OVALLE</t>
  </si>
  <si>
    <t>132</t>
  </si>
  <si>
    <t>REPOSICION DE AMBULANCIAS PARA LA ATENCION PRIMARIA DE SALUD EN LA COMUNA DE CANELA</t>
  </si>
  <si>
    <t>133</t>
  </si>
  <si>
    <t xml:space="preserve">REPOSICIÓN DE AMBULANCIA PARA EL HOSPITAL SAN JUAN DE DIOS COMBARBALÁ </t>
  </si>
  <si>
    <t>134</t>
  </si>
  <si>
    <t>REPOSICIÓN DE AMBULANCIA PARA HOSPITAL SAN JUAN DE DIOS VICUÑA</t>
  </si>
  <si>
    <t>135</t>
  </si>
  <si>
    <t>REPOSICIÓN VEHÍCULOS POLICIALES CON VIDA ÚTIL CUMPLIDA, PARA LA REGIÓN DE COQUIMBO</t>
  </si>
  <si>
    <t>CARABINEROS DE CHILE</t>
  </si>
  <si>
    <t>195</t>
  </si>
  <si>
    <t>REPOSICION POSTA SALUD RURAL NUEVA TALCUNA, COMUNA DE VICUÑA</t>
  </si>
  <si>
    <t>419</t>
  </si>
  <si>
    <t>TRANSFERENCIA APROVECHAMIENTO DE AGUA EN LA INDUSTRIA DEL VINO Y PISCO</t>
  </si>
  <si>
    <t>CAZALAC</t>
  </si>
  <si>
    <t>420</t>
  </si>
  <si>
    <t>INVESTIGACION ESTRATEGIA DE UTILIZACION DE LOS ACUIFEROS EN EL LIMARI</t>
  </si>
  <si>
    <t>Centro de Estudios Avanzados En Zonas Áridas (CEAZA)</t>
  </si>
  <si>
    <t>421</t>
  </si>
  <si>
    <t>UCN SISTEMA FOTOVOLTAICO DE DEPURACION INTEGRADA DE AGUA Y AIRE</t>
  </si>
  <si>
    <t xml:space="preserve">UNIVERSIDAD CATÓLICA DEL NORTE </t>
  </si>
  <si>
    <t>422</t>
  </si>
  <si>
    <t>PUC REUSO DE AGUA PARA UN TURISMO REGIONAL SOSTENIBLE</t>
  </si>
  <si>
    <t>Pontificia Universidad Católica de Chile</t>
  </si>
  <si>
    <t>424</t>
  </si>
  <si>
    <t>INVESTIGACION FORTALECIMIENTO DEL TURISMO DESDE LA IDENTIDAD</t>
  </si>
  <si>
    <t xml:space="preserve">TURISMO Y COMERCIO </t>
  </si>
  <si>
    <t>425</t>
  </si>
  <si>
    <t>INVESTIGACION VALORACION DE HIDROLIZADOS DE QUINOA PARA DIETA DE PECES</t>
  </si>
  <si>
    <t>426</t>
  </si>
  <si>
    <t xml:space="preserve">PONTIFICIA UNIVERSIDAD CATÓLICA DE CHILE - MIELES, POLEN APÍCOLA Y PROPÓLEOS CON VALOR AGREGADO </t>
  </si>
  <si>
    <t>427</t>
  </si>
  <si>
    <t xml:space="preserve">UNIVERSIDAD CATÓLICA DEL NORTE - BASES CIENTÍFICO– TÉCNICAS PARA EL CO-MANEJO DE HUIROS </t>
  </si>
  <si>
    <t>428</t>
  </si>
  <si>
    <t xml:space="preserve">UNIVERSIDAD CATÓLICA DEL NORTE - GRANJAS MARINAS INNOVACIÓN PRODUCTIVA EN ÁREAS DE MANEJO </t>
  </si>
  <si>
    <t>430</t>
  </si>
  <si>
    <t xml:space="preserve">UNIVERSIDAD CATÓLICA DEL NORTE - EFECTO ANTIINFLAMATORIO DEL OMEGA-3 </t>
  </si>
  <si>
    <t>431</t>
  </si>
  <si>
    <t>UNIVERSIDAD CATÓLICA DEL NORTE - VIGILANCIA GENÓMICA DE SARS-COV2 Y OTROS PATÓGENOS</t>
  </si>
  <si>
    <t>432</t>
  </si>
  <si>
    <t>INIA - VALORIZACIÓN DEL PAPAYO, UN CULTIVO CON IDENTIDAD</t>
  </si>
  <si>
    <t>INIA</t>
  </si>
  <si>
    <t>433</t>
  </si>
  <si>
    <t xml:space="preserve">CENTRO TECNOLÓGICO DE INNOVACIÓN ACUÍCOLA - TECNOLOGÍA PARA PRODUCCIÓN CONTINUA DE SEMILLA DE OSTIÓN </t>
  </si>
  <si>
    <t>CTIA</t>
  </si>
  <si>
    <t>434</t>
  </si>
  <si>
    <t xml:space="preserve">INIA - PRODUCCIÓN  DE ACEITE DE OLIVA DE BAJA EMISIÓN DE CARBÓN </t>
  </si>
  <si>
    <t>435</t>
  </si>
  <si>
    <t xml:space="preserve">CENTRO TECNOLÓGICO EN INNOVACIÓN PARA LA INDUSTRIA ALIMENTARIA - MODELO DE TRANSFERENCIA E INNOVACIÓN EN ALIMENTOS </t>
  </si>
  <si>
    <t>CENTRO TECNOLÓGICO EN INNOVACIÓN PARA LA INDUSTRIA ALIMENTARIA</t>
  </si>
  <si>
    <t>436</t>
  </si>
  <si>
    <t xml:space="preserve">PONTIFICIA UNIVERSIDAD CATÓLICA DE VALPARAISO - AGRICULTURA RESILIENTE EN EL VALLE DE CHOAPA </t>
  </si>
  <si>
    <t>PONTIFICIA UNIVERSIDAD CATÓLICA DE VALPARAISO</t>
  </si>
  <si>
    <t>437</t>
  </si>
  <si>
    <t xml:space="preserve">UNIVERSIDAD CATÓLICA DEL NORTE - VALIDACIÓN DE LOS EFECTOS NEUROPROTECTORES DEL COPAO </t>
  </si>
  <si>
    <t>UNIVERSIDAD CATÓLICA DEL NORTE</t>
  </si>
  <si>
    <t>439</t>
  </si>
  <si>
    <t xml:space="preserve">UNIVERSIDAD CATÓLICA DEL NORTE - DESARROLLO SUSTENTABLE DEL TURISMO DE NATURALEZA </t>
  </si>
  <si>
    <t>440</t>
  </si>
  <si>
    <t xml:space="preserve">PONTIFICIA UNIVERSIDAD CATÓLICA DE CHILE - TURISMO PATRIMONIAL CREATIVO E INNOVACIÓN INCREMENTAL </t>
  </si>
  <si>
    <t>PONTIFICIA UNIVERSIDAD CATÓLICA DE CHILE</t>
  </si>
  <si>
    <t>441</t>
  </si>
  <si>
    <t xml:space="preserve">UNIVERSIDAD CATÓLICA DEL NORTE - CULTIVO INTENSIVO DE COJINOBA EN SISTEMAS RAS </t>
  </si>
  <si>
    <t>442</t>
  </si>
  <si>
    <t xml:space="preserve">UNIVERSIDAD CATÓLICA DEL NORTE - USO SOSTENIBLE DE LA PESQUERÍA DE CRUSTÁCEOS DEMERSALES </t>
  </si>
  <si>
    <t>443</t>
  </si>
  <si>
    <t xml:space="preserve">UNIVERSIDAD CATÓLICA DEL NORTE - POTENCIAL TERAPÉUTICO DE ALGAS MARINAS DE COQUIMBO </t>
  </si>
  <si>
    <t>444</t>
  </si>
  <si>
    <t xml:space="preserve">CEAZA CARACTERIZACIÓN RED DE HUMEDALES REGIÓN DE COQUIMBO </t>
  </si>
  <si>
    <t>445</t>
  </si>
  <si>
    <t>INIA - RECUPERACIÓN PILOTO DE RESTAURACIÓN HIDROLÓGICA Y AMBIENTAL DEL ACUÍFERO “PAN DE AZÚCAR”</t>
  </si>
  <si>
    <t>446</t>
  </si>
  <si>
    <t>DESARROLLO DE ALTERNATIVAS PARA TRATAMIENTO DE RESIDUOS HUMANOS EN ZONAS RURALES</t>
  </si>
  <si>
    <t>INACAP</t>
  </si>
  <si>
    <t>447</t>
  </si>
  <si>
    <t>REACTIVACIÓN DEL TURISMO REGIONAL CON ECONOMÍA CIRCULAR</t>
  </si>
  <si>
    <t>EUROCHILE</t>
  </si>
  <si>
    <t>448</t>
  </si>
  <si>
    <t>TRANSFERENCIA DESARROLLO Y FOMENTO DE EMPRESAS DE ECONOMÍA SOCIAL Y COOPERATIVA REGIONALES</t>
  </si>
  <si>
    <t>FUNDACIÓN CHILE</t>
  </si>
  <si>
    <t>449</t>
  </si>
  <si>
    <t>TRANSFERENCIA PROGRAMA REGENEREMOS COQUIMBO 2023-2024</t>
  </si>
  <si>
    <t>CORPORACIÓN EDUCACIONAL ERES</t>
  </si>
  <si>
    <t>450</t>
  </si>
  <si>
    <t>TRANSFERENCIA VALORIZACIÓN DE RESIDUOS ORGÁNICOS DOMICILIARIOS A TRAVÉS DE HUERTAS URBANAS</t>
  </si>
  <si>
    <t>451</t>
  </si>
  <si>
    <t>TRANSFERENCIA PROGRAMA DE TRANSFERENCIA EDUCANDO FUTUROS TÉCNICOS AGRÍCOLAS</t>
  </si>
  <si>
    <t>452</t>
  </si>
  <si>
    <t>TRANSFERENCIA TECNOLÓGICA PARA UN MODELO DE PRODUCCIÓN DE ACEITE DE OLIVA SUSTENTABLE</t>
  </si>
  <si>
    <t>453</t>
  </si>
  <si>
    <t>TRANSFERENCIA RECUPERACION ECONOMICA DE LA ARTESANIA TRADICIONAL DE LA REGION DE COQUIMBO</t>
  </si>
  <si>
    <t>FUNDACIÓN ARTESANÍAS DE CHILE</t>
  </si>
  <si>
    <t>454</t>
  </si>
  <si>
    <t>TRANSFERENCIA ACELERACIÓN DE COMUNIDADES COSTERAS PARA EL DESARROLLO SUSTENTABLE DE LA HIGUERA</t>
  </si>
  <si>
    <t>SMARTRIP</t>
  </si>
  <si>
    <t>455</t>
  </si>
  <si>
    <t>TRANSFERENCIA MODELO DE ACELERACION DE INVERSIONES REGION DE COQUIMBO</t>
  </si>
  <si>
    <t>UNIVERSIDAD SANTO TOMÁS</t>
  </si>
  <si>
    <t>456</t>
  </si>
  <si>
    <t>DIFUSIÓN PROGRAMA POSICIONAMIENTO INTERNACIONAL DE LA OFERTA TURÍSTICA, COMUNA DE VICUÑA</t>
  </si>
  <si>
    <t>CORPORACIÓN MUNICIPAL DE TURISMO DE VICUÑA</t>
  </si>
  <si>
    <t>999</t>
  </si>
  <si>
    <t>FONDO REGIONAL PARA LA PRODUCTIVIDAD Y EL DESARROLLO - SIN DISTRIBUIR</t>
  </si>
  <si>
    <t>ADQUISICIÓN DE 2 BUSES ELÉCTRICOS PARA TRANSPORTE ESCOLAR, COMUNA DE OVALLE</t>
  </si>
  <si>
    <t>DIT - GORE</t>
  </si>
  <si>
    <t>DESIGNADO UT DIT - GORE</t>
  </si>
  <si>
    <t>ADQUISICIÓN DE BUSES PARA TRANSPORTE ESCOLAR, COMUNA DE SALAMANCA</t>
  </si>
  <si>
    <t>ADQUISICIÓN DE VEHÍCULOS Y MAQUINARIAS PARA RETIRO DE MICROBASURALES Y RESIDUOS, LA SERENA</t>
  </si>
  <si>
    <t>ADQUSICIÓN CAMIÓN LIMPIA FOSAS, COMUNA DE COMBARBALÁ</t>
  </si>
  <si>
    <t>SERVIU - SIN DISTRIBUIR</t>
  </si>
  <si>
    <t>CAMPO VERDE SOTAQUI, OVALLE (COFINANCIAMIENTO SERVIU)</t>
  </si>
  <si>
    <t>SERVIU</t>
  </si>
  <si>
    <t>PRIORIZADO</t>
  </si>
  <si>
    <t>PROYECTOS HABITACIONALES SERVIU 
BALCONES DE ILLAPEL, ILLAPEL</t>
  </si>
  <si>
    <t>REPOSICIÓN AMBULANCIAS DE LA RED DE ATENCIÓN PRIMARIA DE SALUD, COMUNA DE COQUIMBO</t>
  </si>
  <si>
    <t>REPOSICIÓN DE AMBULANCIA PARA HOSPITAL SAN JUAN DE DIOS DE COMBARBALÁ</t>
  </si>
  <si>
    <t>REPOSICIÓN DE VEHÍCULOS Y MEDIOS DE RESCATE MARÍTIMO</t>
  </si>
  <si>
    <t>DIRECCIÓN GENERAL DEL TERRITORIO MARÍTIMO Y MARINA MERCANTE (DIRECTEMAR ARMADA DE CHILE)</t>
  </si>
  <si>
    <t>REPOSICIÓN HELICÓPTERO MULTIPROPÓSITO SECCIÓN AÉREA IV ZONA CARABINEROS COQUIMBO</t>
  </si>
  <si>
    <t>RECURSOS TRANSFERIDOS EN 2023</t>
  </si>
  <si>
    <t>REPOSICIÓN MAQUINARIA PESADA, COMUNA DE COMBARBALÁ</t>
  </si>
  <si>
    <t>REPOSICIÓN VEHÍCULOS DE TRASLADO DE REOS UNIDAD DE SERVICIOS ESPECIALES PENITENCIARIOS</t>
  </si>
  <si>
    <t>GENDARMERÍA DE CHILE</t>
  </si>
  <si>
    <t>TRANSFERENCIA MEDIDAS DE MITIGACIÓN Y PREPARACIÓN ANTE RIESGOS DE DESASTRES 2023, COMBARBALÁ</t>
  </si>
  <si>
    <t>TRANSFERENCIA MEDIDAS DE MITIGACIÓN Y PREPARACIÓN ANTE RIESGOS DE DESASTRES 2023, COMUNA DE PAIHUANO</t>
  </si>
  <si>
    <t>TRANSFERENCIA MEDIDAS DE MITIGACIÓN Y PREPARACIÓN ANTE RIESGOS DE DESASTRES 2023, LA HIGUERA</t>
  </si>
  <si>
    <t>TRANSFERENCIA MEDIDAS DE MITIGACIÓN Y PREPARACIÓN ANTE RIESGOS DE DESASTRES 2023, LOS VILOS</t>
  </si>
  <si>
    <t>TRANSFERENCIA MEDIDAS DE MITIGACIÓN Y PREPARACIÓN ANTE RIESGOS DE DESASTRES 2023, PUNITAQUI</t>
  </si>
  <si>
    <t>TRANSFERENCIA MEDIDAS DE MITIGACIÓN Y PREPARACIÓN ANTE RIESGOS DE DESASTRES 2023, RÍO HURTADO</t>
  </si>
  <si>
    <t>TRANSFERENCIA MEDIDAS DE MITIGACIÓN Y PREPARACIÓN ANTE RIESGOS DE DESASTRES 2023, SALAMANCA</t>
  </si>
  <si>
    <t>TRANSFERENCIA MEDIDAS DE MITIGACIÓN Y PREPARACIÓN ANTE RIESGOS DE DESASTRES 2023, VICUÑA</t>
  </si>
  <si>
    <t>TRANSFERENCIA PROGRAMA APOYO AFECTACIONES POR ESCASEZ HÍDRICA 2023 COMUNA DE ANDACOLLO</t>
  </si>
  <si>
    <t>TRANSFERENCIA PROGRAMA APOYO AFECTACIONES POR ESCASEZ HÍDRICA 2023 COMUNA DE CANELA</t>
  </si>
  <si>
    <t>TRANSFERENCIA PROGRAMA APOYO AFECTACIONES POR ESCASEZ HÍDRICA 2023 COMUNA DE COMBARBALÁ</t>
  </si>
  <si>
    <t>TRANSFERENCIA PROGRAMA APOYO AFECTACIONES POR ESCASEZ HÍDRICA 2023 COMUNA DE COQUIMBO</t>
  </si>
  <si>
    <t>TRANSFERENCIA PROGRAMA APOYO AFECTACIONES POR ESCASEZ HÍDRICA 2023 COMUNA DE ILLAPEL</t>
  </si>
  <si>
    <t>TRANSFERENCIA PROGRAMA APOYO AFECTACIONES POR ESCASEZ HÍDRICA 2023 COMUNA DE LA HIGUERA</t>
  </si>
  <si>
    <t>TRANSFERENCIA PROGRAMA APOYO AFECTACIONES POR ESCASEZ HÍDRICA 2023 COMUNA DE LA SERENA</t>
  </si>
  <si>
    <t>TRANSFERENCIA PROGRAMA APOYO AFECTACIONES POR ESCASEZ HÍDRICA 2023 COMUNA DE LOS VILOS</t>
  </si>
  <si>
    <t>TRANSFERENCIA PROGRAMA APOYO AFECTACIONES POR ESCASEZ HÍDRICA 2023 COMUNA DE MONTE PATRIA</t>
  </si>
  <si>
    <t>TRANSFERENCIA PROGRAMA APOYO AFECTACIONES POR ESCASEZ HÍDRICA 2023 COMUNA DE OVALLE</t>
  </si>
  <si>
    <t>TRANSFERENCIA PROGRAMA APOYO AFECTACIONES POR ESCASEZ HÍDRICA 2023 COMUNA DE PAIHUANO</t>
  </si>
  <si>
    <t>TRANSFERENCIA PROGRAMA APOYO AFECTACIONES POR ESCASEZ HÍDRICA 2023 COMUNA DE PUNITAQUI</t>
  </si>
  <si>
    <t>TRANSFERENCIA PROGRAMA APOYO AFECTACIONES POR ESCASEZ HÍDRICA 2023 COMUNA DE RÍO HURTADO</t>
  </si>
  <si>
    <t>TRANSFERENCIA PROGRAMA APOYO AFECTACIONES POR ESCASEZ HÍDRICA 2023 COMUNA DE SALAMANCA</t>
  </si>
  <si>
    <t>TRANSFERENCIA PROGRAMA APOYO AFECTACIONES POR ESCASEZ HÍDRICA 2023 COMUNA DE VICUÑA</t>
  </si>
  <si>
    <t>ADQUISICION BUSES PARA TRANSPORTE ESCOLAR COMUNA DE ILLAPEL</t>
  </si>
  <si>
    <t>29</t>
  </si>
  <si>
    <t>ADQUISICIÓN CAMION ALZA HOMBRE, COMUNA DE PUNITAQUI</t>
  </si>
  <si>
    <t>ADQUISICION DE BUSES ELECTRICOS PARA TRANSPORTE DE ESTUDIANTES COMUNA DE MONTE PATRIA</t>
  </si>
  <si>
    <t>ADQUISICIÓN DE CAMIONES ALJIBES PARA EL TRANSPORTE Y ABASTECIMIENTO</t>
  </si>
  <si>
    <t>ADQUISICION DE DOS AMBULANCIAS PARA POSTAS RURALES DE SALUD, COMUNA DE LOS VILOS</t>
  </si>
  <si>
    <t>ADQUISICIÓN DE EQUIPOS PARA INTERVENIR A PACIENTES CON ENFERMEDAD DE PARKINSON, H. COQUIMBO</t>
  </si>
  <si>
    <t>ADQUISICIÓN DE MAQUINARIA PARA VERTEDERO MUNICIPAL, COMUNA PUNITAQUI</t>
  </si>
  <si>
    <t>ADQUISICIÓN DE VEHICULOS Y MAQUINARIAS PARA LA GESTIÓN Y RECUPERACIÓN DE R.S.D, VICUÑA (VEHÍCULO)</t>
  </si>
  <si>
    <t>ADQUISICIÓN DE VEHICULOS Y MAQUINARIAS PARA LA GESTIÓN Y RECUPERACIÓN DE R.S.D, VICUÑA (EQUIPO)</t>
  </si>
  <si>
    <t>ADQUISICIÓN VEHÍCULOS PARA TRANSPORTE DEL EQUIPO MÉDICO DE SALUD RURAL, COMUNA DE LA SERENA</t>
  </si>
  <si>
    <t>AMPLIACIÓN OBRAS DE URBANIZACIÓN EL ROMERO, COMUNA DE LA SERENA</t>
  </si>
  <si>
    <t>ANTICIPO A CONTRATISTAS</t>
  </si>
  <si>
    <t>COMPENSACIÓN POR DAÑOS A TERCEROS</t>
  </si>
  <si>
    <t>CONSERVACIÓN COLEGIO JAPON - RBD, LA SERENA</t>
  </si>
  <si>
    <t>TERMINO DE CONTRATO</t>
  </si>
  <si>
    <t>CONSERVACION COLEGIO JOSÉ MIGUEL CARRERA, RBD 535, COMUNA DE LA SERENA</t>
  </si>
  <si>
    <t>CONSERVACIÓN DE PAVIMENTO URBANO 2023, COMUNA DE ANDACOLLO</t>
  </si>
  <si>
    <t>CONSERVACIÓN DE PAVIMENTO URBANO 2023, COMUNA DE CANELA</t>
  </si>
  <si>
    <t>CONSERVACIÓN DE PAVIMENTO URBANO 2023, COMUNA DE COMBARBALÁ</t>
  </si>
  <si>
    <t>CONSERVACIÓN DE PAVIMENTO URBANO 2023, COMUNA DE COQUIMBO</t>
  </si>
  <si>
    <t>CONSERVACIÓN DE PAVIMENTO URBANO 2023, COMUNA DE ILLAPEL</t>
  </si>
  <si>
    <t>CONSERVACIÓN DE PAVIMENTO URBANO 2023, COMUNA DE LA HIGUERA</t>
  </si>
  <si>
    <t>RECEPCIÓN PROVISORIA</t>
  </si>
  <si>
    <t>CONSERVACIÓN DE PAVIMENTO URBANO 2023, COMUNA DE LA SERENA</t>
  </si>
  <si>
    <t>CONSERVACIÓN DE PAVIMENTO URBANO 2023, COMUNA DE LOS VILOS</t>
  </si>
  <si>
    <t>CONSERVACIÓN DE PAVIMENTO URBANO 2023, COMUNA DE MONTE PATRIA</t>
  </si>
  <si>
    <t>CONSERVACIÓN DE PAVIMENTO URBANO 2023, COMUNA DE OVALLE</t>
  </si>
  <si>
    <t>CONSERVACIÓN DE PAVIMENTO URBANO 2023, COMUNA DE PAIHUANO</t>
  </si>
  <si>
    <t>CONSERVACIÓN DE PAVIMENTO URBANO 2023, COMUNA DE PUNITAQUI</t>
  </si>
  <si>
    <t>CONSERVACIÓN DE PAVIMENTO URBANO 2023, COMUNA DE SALAMANCA</t>
  </si>
  <si>
    <t>CONSERVACIÓN DE PAVIMENTO URBANO 2023, COMUNA DE VICUÑA</t>
  </si>
  <si>
    <t>CONSERVACION DEL EDIFICIO CONSISTORIAL COMBARBALA</t>
  </si>
  <si>
    <t>CONSTRUCCION AVDA 4 ESQUINAS TRAMO I MAS CALLE LOS ARRAYANES</t>
  </si>
  <si>
    <t>CONSTRUCCION CENTRO COMUNITARIO DE SALUD FAMILIAR COGOTI 18, COMBARBALA</t>
  </si>
  <si>
    <t>CONSTRUCCIÓN CENTRO DE DIFUSIÓN DEL PATRIMONIO, RÍO HURTADO</t>
  </si>
  <si>
    <t>CONSTRUCCION CESFAM CARDENAL JOSE MARIA CARO ORIENTE, COMUNA DE LA SERENA</t>
  </si>
  <si>
    <t>CONSTRUCCION INFR. PESQUERA ARTESANAL CALETA PTO. OSCURO, CANELA</t>
  </si>
  <si>
    <t>DIRECCIÓN DE OBRAS PORTUARIAS</t>
  </si>
  <si>
    <t>CONSTRUCCION MUSEO CIRUJANO VIDELA Y CENTRO CULTURAL, ANDACOLLO</t>
  </si>
  <si>
    <t>CONSTRUCCION OBRAS DE URBANIZACION LOCALIDAD DE LOS MORALES, MONTE PATRIA</t>
  </si>
  <si>
    <t>CONSTRUCCIÓN OBRAS DE URBANIZACIÓN, LOCALIDADES DE GABRIELA MISTRAL Y EL ROSARIO, LA SERENA</t>
  </si>
  <si>
    <t>CONSTRUCCION P.T.A.S Y RED DE ALCANTARILLADO DE RAPEL, COMUNA MONTE PATRIA</t>
  </si>
  <si>
    <t>CONSTRUCCION P.T.A.S. Y RED DE ALCANTARILLADO EL TOME, COMUNA MONTE PATRIA</t>
  </si>
  <si>
    <t>31</t>
  </si>
  <si>
    <t>CONSTRUCCIÓN PASEO CALLE LOS CARRERAS, POBLACIÓN 25 DE OCTUBRE, ANDACOLLO</t>
  </si>
  <si>
    <t>CONSTRUCCIÓN RED DE ENERGÍA ELECTRICA SECTOR CAJÓN DEL ROMERO, LA SERENA</t>
  </si>
  <si>
    <t>CONTRATO EN FIRMA</t>
  </si>
  <si>
    <t>DIAGNOSTICO PLAN MAESTRO CICLOVÍAS, CIUDAD DE OVALLE</t>
  </si>
  <si>
    <t>TRANSPORTE / TRANSPORTE URBANO,VIALIDAD PEATONAL</t>
  </si>
  <si>
    <t>ESTUDIOS - SIN DISTRIBUIR</t>
  </si>
  <si>
    <t>MÁQUINAS Y EQUIPOS - SIN DISTRIBUIR</t>
  </si>
  <si>
    <t>MEJORAMIENTO CANCHA DE FUTBOL SANTA VIRGINIA</t>
  </si>
  <si>
    <t>MEJORAMIENTO ESPACIO PUBLICO AVENIDA BELTRAN AMENABAR, ANDACOLLO</t>
  </si>
  <si>
    <t>MEJORAMIENTO PASEO PEATONAL AV. FCO DE AGUIRRE RUTA 5- EL FARO, LA SERENA</t>
  </si>
  <si>
    <t>NORMALIZACIÓN RED ELECTRICA CENTRO DE DETENCION PREVENTIVA DE OVALLE</t>
  </si>
  <si>
    <t>33</t>
  </si>
  <si>
    <t>OBTENCIÓN DE SOLUCIONES DE COBALTO Y HIERRO DESDE RELAVES MINEROS</t>
  </si>
  <si>
    <t>24</t>
  </si>
  <si>
    <t>PROGRAMA DE EMPLEABILIDAD 2023</t>
  </si>
  <si>
    <t>PROGRAMA DE EMPLEABILIDAD 2023 ANDACOLLO</t>
  </si>
  <si>
    <t>PROGRAMA DE EMPLEABILIDAD 2023 CANELA</t>
  </si>
  <si>
    <t>PROGRAMA DE EMPLEABILIDAD 2023 COMBARBALA</t>
  </si>
  <si>
    <t>PROGRAMA DE EMPLEABILIDAD 2023 COQUIMBO</t>
  </si>
  <si>
    <t>PROGRAMA DE EMPLEABILIDAD 2023 ILLAPEL</t>
  </si>
  <si>
    <t>PROGRAMA DE EMPLEABILIDAD 2023 LA HIGUERA</t>
  </si>
  <si>
    <t xml:space="preserve">PROGRAMA DE EMPLEABILIDAD 2023 LA SERENA </t>
  </si>
  <si>
    <t>PROGRAMA DE EMPLEABILIDAD 2023 LOS VILOS</t>
  </si>
  <si>
    <t>PROGRAMA DE EMPLEABILIDAD 2023 MONTE PATRIA</t>
  </si>
  <si>
    <t>PROGRAMA DE EMPLEABILIDAD 2023 OVALLE</t>
  </si>
  <si>
    <t>PROGRAMA DE EMPLEABILIDAD 2023 PAIHUANO</t>
  </si>
  <si>
    <t>PROGRAMA DE EMPLEABILIDAD 2023 PUNITAQUI</t>
  </si>
  <si>
    <t>PROGRAMA DE EMPLEABILIDAD 2023 RIO HURTADO</t>
  </si>
  <si>
    <t>PROGRAMA DE EMPLEABILIDAD 2023 SALAMANCA</t>
  </si>
  <si>
    <t>PROGRAMA DE EMPLEABILIDAD 2023 VICUÑA</t>
  </si>
  <si>
    <t>REPOSICION AMBULANCIA HOSPITAL DE VICUÑA</t>
  </si>
  <si>
    <t>REPOSICIÓN CLÍNICA DENTAL MÓVIL PARA EQUIPO MÉDICO RURAL, COMUNA DE LA SERENA</t>
  </si>
  <si>
    <t>REPOSICION CUARTEL 3RA. COMPAÑÍA DE BOMBEROS CHILLEPIN, SALAMANCA</t>
  </si>
  <si>
    <t>REPOSICIÓN CUARTELES MÓVILES PARA LAS UNIDADES POLICIALES DE LA IV ZONA COQUIMBO</t>
  </si>
  <si>
    <t>REPOSICION DEL BUS ESCOLAR, COMUNA DE LA HIGUERA</t>
  </si>
  <si>
    <t>REPOSICIÓN LUMINARIAS PÚBLICAS LOS VILOS Y PICHIDANGUI, COMUNA DE LOS VILOS</t>
  </si>
  <si>
    <t>TRANSFERENCIA EMPRENDIMIENTO REGIONAL</t>
  </si>
  <si>
    <t>REPOSICION PARQUE OASIS, ANDACOLLO</t>
  </si>
  <si>
    <t>REPOSICIÓN POSTA DE SALUD RURAL DE MINCHA NORTE, CANELA</t>
  </si>
  <si>
    <t>REPOSICION POSTA SALUD RURAL PISCO ELQUI, PAIHUANO</t>
  </si>
  <si>
    <t>REPOSICION SERVICIO DE ESTERILIZACION HOSPITAL SAN PABLO, COQUIMBO</t>
  </si>
  <si>
    <t>REPOSICION VEHICULOS SAMU REGION DE COQUIMBO (VEHÍCULOS)</t>
  </si>
  <si>
    <t>REPOSICION VEHICULOS SAMU REGION DE COQUIMBO (EQUIPOS)</t>
  </si>
  <si>
    <t>TRANSFERENCIA DESARROLLO DE CAPITAL HUMANO E INNOVACIÓN PARA LA PEQUEÑA MINERÍA DE COQUIMBO</t>
  </si>
  <si>
    <t>CEDUC - UCN</t>
  </si>
  <si>
    <t>TRANSFERENCIA MEDIDAS DE MITIGACIÓN Y PREPARACIÓN ANTE RIESGOS DE DESASTRES 2023, COMUNA DE ANDACOLLO</t>
  </si>
  <si>
    <t>TRANSFERENCIA MEDIDAS DE MITIGACIÓN Y PREPARACIÓN ANTE RIESGOS DE DESASTRES 2023, COMUNA DE CANELA</t>
  </si>
  <si>
    <t>TRANSFERENCIA MEDIDAS DE MITIGACIÓN Y PREPARACIÓN ANTE RIESGOS DE DESASTRES 2023, COMUNA DE COQUIMBO</t>
  </si>
  <si>
    <t>TRANSFERENCIA MEDIDAS DE MITIGACIÓN Y PREPARACIÓN ANTE RIESGOS DE DESASTRES 2023, COMUNA DE ILLAPEL</t>
  </si>
  <si>
    <t>TRANSFERENCIA MEDIDAS DE MITIGACIÓN Y PREPARACIÓN ANTE RIESGOS DE DESASTRES 2023, COMUNA DE LA SERENA</t>
  </si>
  <si>
    <t>TRANSFERENCIA MEDIDAS DE MITIGACIÓN Y PREPARACIÓN ANTE RIESGOS DE DESASTRES 2023, COMUNA DE MONTE PATRIA</t>
  </si>
  <si>
    <t>TRANSFERENCIA MEDIDAS DE MITIGACIÓN Y PREPARACIÓN ANTE RIESGOS DE DESASTRES 2023, COMUNA DE OVALLE</t>
  </si>
  <si>
    <t>CONSTRUCCIÓN ELECTRIFICACIÓN RURAL PARA PUNILLA, VARIOS SECTORES, COMUNA DE OVALLE</t>
  </si>
  <si>
    <t xml:space="preserve">CAPACITACIÓN  ESCUELA DE EMPRENDIMIENTO DE PCD Y CUIDADORES/AS DE LA REGIÓN DE COQUIMBO </t>
  </si>
  <si>
    <t>SENADIS</t>
  </si>
  <si>
    <t>ADQUISICIÓN DE VEHICULOS PARA PATRULLAJE DE SEGURIDAD, COMUNA DE SALAMANCA</t>
  </si>
  <si>
    <t>VEHÍCULOS - SIN DISTRIBUIR</t>
  </si>
  <si>
    <t>REPOSICION DE BUSES PARA TRASLADO DE ESCOLARES, COMUNA DE LA SERENA</t>
  </si>
  <si>
    <t>MEJORAMIENTO RECINTO DEPORTIVO EL TAMBO, COMUNA DE SALAMANCA</t>
  </si>
  <si>
    <t>TRANSFERENCIA ZONAS REZAGADAS 2024 2026</t>
  </si>
  <si>
    <t>SUBTITULO 24.03 - PROGRAMAS DE INVERSIÓN</t>
  </si>
  <si>
    <t>SUBTITULO 31 - SIN DISTRIBUIR</t>
  </si>
  <si>
    <t>FONDO REGIONAL DE INICIATIVA LOCAL (FRIL)  - SIN DISTRIBUIR</t>
  </si>
  <si>
    <t>125</t>
  </si>
  <si>
    <t>FONDO REGIONAL DE INICIATIVA LOCAL (FRIL)</t>
  </si>
  <si>
    <t>7756 / 7777</t>
  </si>
  <si>
    <t>MUNICIPALIDADES</t>
  </si>
  <si>
    <t>409</t>
  </si>
  <si>
    <t>DENOMINACIÓN DE ORIGEN  DEL QUESO DE CABRA DE COQUIMBO</t>
  </si>
  <si>
    <t xml:space="preserve">UNIVERSIDAD DE CHILE </t>
  </si>
  <si>
    <t>PREFACTIBILIDAD</t>
  </si>
  <si>
    <t>CONSTRUCCIÓN CENTRO DE GESTIÓN DE RESIDUOS INORGÁNICOS PROVINCIA DE ELQUI, REGIÓN DE COQUIMBO</t>
  </si>
  <si>
    <t>PROYECTO HABITACIONAL JARDINES DEL SAUCE (COFINANCIAMIENTO SERVIU)</t>
  </si>
  <si>
    <t>ADQUISICIÓN 2 BUSES ELÉCTRICOS, COMUNA DE PUNITAQUI</t>
  </si>
  <si>
    <t>ADQUISICIÓN CAMIÓN LIMPIAFOSAS, COMUNA DE RIO HURTADO</t>
  </si>
  <si>
    <t>SANEAMIENTO SANITARIO PRODUCTIVO CRIANCEROS COQUIMBO</t>
  </si>
  <si>
    <t>SAG</t>
  </si>
  <si>
    <t>100</t>
  </si>
  <si>
    <t>CONSTRUCCIÓN RED ALCANTARILLADO Y MEJ. A. POTABLE Y SERV. BASICOS, EL SAUCE, COQUIMBO</t>
  </si>
  <si>
    <t>ADQUISICIÓN Y REPOSICIÓN DE VEHICULOS EQUIPADOS PARA LA SECCIÓN GOPE DE CARABINEROS COQUIMBO</t>
  </si>
  <si>
    <t>TRANSFERENCIA PROPUESTA DE FINANCIAMIENTO BASAL CRDP 2025-2026</t>
  </si>
  <si>
    <t>CORPORACIÓN REGIONAL DE DESARROLLO PRODUCTIVO (CRDP)</t>
  </si>
  <si>
    <t>TRANSFERENCIA PROPUESTA DE FINANCIAMIENTO BASAL CRDP 2024-2025</t>
  </si>
  <si>
    <t>CONSERVACION GIMNASIO MUNICIPAL DE LA HIGUERA</t>
  </si>
  <si>
    <t>CONSTRUCCION PASEO GASTRONOMICO CHANCHOQUI, PAIHUANO</t>
  </si>
  <si>
    <t>MEJORAMIENTO CALLES PERIMETRALES PARQUE, LOS VILOS</t>
  </si>
  <si>
    <t>11</t>
  </si>
  <si>
    <t>ESTUDIO BASICO PREFACTIBILIDAD PARA LA INSTALACIÓN DE UN PARQUE CIENTIFICO TECNOLOGICO EN LA REGION DE COQUIMBO</t>
  </si>
  <si>
    <t>ESTRATEGIA REGIONAL DE TURISMO, REGIÓN DE COQUIMBO</t>
  </si>
  <si>
    <t>TRANSFERENCIA FORTALECIMIENTO Y DESARROLLO SUSTENTABLE DEL TURISMO AVENTURA</t>
  </si>
  <si>
    <t>Banco comunitario de semillas para la AFC</t>
  </si>
  <si>
    <t>Mutaciones en BRCA1/2 y la prevención del cáncer de mama</t>
  </si>
  <si>
    <t>Mieles regionales fortificadas como antibiótico natural</t>
  </si>
  <si>
    <t>Pontificia Universidad Católica De Chile</t>
  </si>
  <si>
    <t>DESALINIZACIÓN Y EFECTOS EN LOS SERVICIOS ECOSISTÉMICOS MARINOS DESEMAR COQUIMBO</t>
  </si>
  <si>
    <t>Lancha de Hidrógeno para Educación</t>
  </si>
  <si>
    <t>Centro de Investigación y Desarrollo Tecnológico (Cenit)</t>
  </si>
  <si>
    <t>Hidroponía, una alternativa para la AFC ante la sequía</t>
  </si>
  <si>
    <t>Nanocompuestos: terapia y prevención de cáncer de piel</t>
  </si>
  <si>
    <t>Algas marinas regionales con potencial antidiabético</t>
  </si>
  <si>
    <t>TRANSFERENCIA TECNOLÓGICA OPERACIONAL SSR COQUIMBO</t>
  </si>
  <si>
    <t>Universidad De La Serena</t>
  </si>
  <si>
    <t>Clones de Vides Pisqueras Resistentes a Sequía</t>
  </si>
  <si>
    <t>Herramienta para sustentabilidad de aguas subterráneas</t>
  </si>
  <si>
    <t>Productos de copao en el tratamiento de demencia</t>
  </si>
  <si>
    <t>Invernadero inteligente para la reconversión agrícola</t>
  </si>
  <si>
    <t>Aguas residuales: Sostenibilidad en Industria del Pisco</t>
  </si>
  <si>
    <t>Centro del Agua Para Zonas Áridas Y Semiárida (CAZALAC)</t>
  </si>
  <si>
    <t>Integración Operacional Hídrica para OUA INOPHI</t>
  </si>
  <si>
    <t>Sistema Integral de Proyecciones Cuencas Coquimbo</t>
  </si>
  <si>
    <t>PROPUESTA DE FINANCIAMIENTO BASAL PARA EL FUNCIONAMIENTO Y OPERACIÓN DE LA CORPORACIÓN CENTRO DE ESTUDIOS AVANZADOS EN ZONAS ÁRIDAS, CEAZA 2024-2025</t>
  </si>
  <si>
    <t>ADQUISICIÓN CENTRO DE ATENCIÓN MÓVIL VETERINARIA, COMBARBALÁ</t>
  </si>
  <si>
    <t>CONSERVACIÓN ESTADIO MUNICIPAL DE MONTE PATRIA</t>
  </si>
  <si>
    <t>TRANSFERENCIA FORTALECIMIENTO ACTIVIDAD TURÍSTICA PARA EL DESTINO ZONAS REZAGADAS ELQUI LIMARÍ</t>
  </si>
  <si>
    <t>TRANSFERENCIA PILOTO DE REFORESTACIÓN CON RECUPERACIÓN DE SUELOS, PRODUCCIÓN DE FORRAJEO Y EDUCACIÓN AMBIENTAL</t>
  </si>
  <si>
    <t>UNIVERSIDAD TECNOLÓGICA METROPOLITANA</t>
  </si>
  <si>
    <t>TRANSFERENCIA PARA EL MEJORAMIENTO DE
LA PRODUCCION DE UVAS PISQUERAS DE PEQUEÑOS AGRICULTORES</t>
  </si>
  <si>
    <t>REPOSICIÓN VEHÍCULOS POLICIALES IV ZONA CARABINEROS COQUIMBO</t>
  </si>
  <si>
    <t>ADQUISICION DE MAQUINARIAS MUNICIPAL PARA LA EJECUCION DE SERVICIOS COMUNITARIOS, ILLAPEL</t>
  </si>
  <si>
    <t>ADQUISICIÓN DE TRES CAMIONES RECOLECTORES DE RSD, COMUNA DE VICUÑA</t>
  </si>
  <si>
    <t>CONSTRUCCION CENTRO INTEGRAL DEL ADULTO MAYOR, COMUNA DE SALAMANCA</t>
  </si>
  <si>
    <t>ADQUISICION CAMARAS DE FISCALIZACION EJE VIDELA-VARELA</t>
  </si>
  <si>
    <t>REPOSICION SUBCOMISARIA TIERRAS BLANCAS, COQUIMBO</t>
  </si>
  <si>
    <t>ULTIMA ESPERANZA LOS VILOS (COFINANCIAMIENTO SERVIU)</t>
  </si>
  <si>
    <t>NUEVO MILENIO, COMBARBALÁ (COFINANCIAMIENTO SERVIU)</t>
  </si>
  <si>
    <t>TRANSFERENCIA SERVIU - FNDR 2024 (ALTOS DEL MAR, LOS VILOS)</t>
  </si>
  <si>
    <t>TRANSFERENCIA PARA LA INVERSIÓN Y FOMENTO AL RIEGO OUAS</t>
  </si>
  <si>
    <t>TRANSFERENCIA REDUCCIÓN DE TIEMPOS DE ESPERA CON FONDOS REGIONALES</t>
  </si>
  <si>
    <t>ADQUISICION CÁMARAS DE FISCALIZACION PARA TP, EJE CIENFUEGOS</t>
  </si>
  <si>
    <t>CONSERVACIÓN EDIFICIO CONSISTORIAL ILLAPEL</t>
  </si>
  <si>
    <t>REPOSICION DE VEHÍCULOS POLICIALES PARA LA SECCIÓN LABOCAR DE CARABINEROS COQUIMBO</t>
  </si>
  <si>
    <t xml:space="preserve">CONSERVACIÓN ESCUELA VILLA EL PALQUI, COMUNA DE MONTE PATRIA </t>
  </si>
  <si>
    <t>EDUCACIÓN</t>
  </si>
  <si>
    <t>ADQUISICIÓN VETERINARIA MÓVIL COMUNA LOS VILOS</t>
  </si>
  <si>
    <t>ANDACOLLO ORIENTE, ORIENTE (COFINANCIAMIENTO SERVIU)</t>
  </si>
  <si>
    <t>VILLA ESPERANZA TAHUINCO, SALAMANCA (COFINANCIAMIENTO SERVIU)</t>
  </si>
  <si>
    <t>S/CÓDIGO</t>
  </si>
  <si>
    <t>SANTA ROSA I, SALAMANCA (COFINANCIAMIENTO SERVIU)</t>
  </si>
  <si>
    <t>MONTE EVEREST, LOS VILOS (COFINANCIAMIENTO SERVIU)</t>
  </si>
  <si>
    <t>REPOSICIÓN DE VEHICULOS DE APOYO LOGISTICOS PARA LA ZONA DE CARABINEROS COQUIMBO</t>
  </si>
  <si>
    <t>PROGRAMA TRANSFERENCIA PLAN EMERGENCIA HÍDRICA 2024, COMUNA DE ILLAPEL</t>
  </si>
  <si>
    <t>PROGRAMA TRANSFERENCIA PLAN EMERGENCIA HÍDRICA 2024, COMUNA DE CANELA</t>
  </si>
  <si>
    <t>PROGRAMA TRANSFERENCIA PLAN EMERGENCIA HÍDRICA 2024, COMUNA DE MONTE PATRIA</t>
  </si>
  <si>
    <t>PROGRAMA TRANSFERENCIA PLAN EMERGENCIA HÍDRICA 2024, COMUNA DE PUNITAQUI</t>
  </si>
  <si>
    <t>PROGRAMA TRANSFERENCIA PLAN EMERGENCIA HÍDRICA 2024, COMUNA DE COMBARBALÁ</t>
  </si>
  <si>
    <t>PROGRAMA TRANSFERENCIA PLAN EMERGENCIA HÍDRICA 2024, COMUNA DE LA SERENA</t>
  </si>
  <si>
    <t>PROGRAMA TRANSFERENCIA PLAN EMERGENCIA HÍDRICA 2024, COMUNA DE COQUIMBO</t>
  </si>
  <si>
    <t>PROGRAMA TRANSFERENCIA PLAN EMERGENCIA HÍDRICA 2024, COMUNA DE ANDACOLLO</t>
  </si>
  <si>
    <t>ADQUISICIÓN EQUIPO Y EQUIPAMIENTO PARA INVESTIGACIÓN DE DELITOS DE ALTA COMPLEJIDAD, PDI</t>
  </si>
  <si>
    <t>TELEVIGILANCIA MÓVIL REGIÓN DE COQUIMBO</t>
  </si>
  <si>
    <t>SUBSECRETARÍA DEL DELITO</t>
  </si>
  <si>
    <t>ASIGNACIÓN PRESUPUESTARIA TOTALMENTE TRAMITADA</t>
  </si>
  <si>
    <t>ADQUISICIÓN DE VEHÍCULOS TRASLADO DE IMPUTADOS PARA CARABINEROS DE LA REGIÓN DE COQUIMBO</t>
  </si>
  <si>
    <t>ADQUISICIÓN DE CAMIONES PATRULLAJES PREVENTIVOS DE LA COMUNA DE LA SERENA</t>
  </si>
  <si>
    <t>ADQUISICIÓN DE SISTEMA DE AERONAVE REMOTAMENTE PILOTEADA RPAS, COMUNA DE SALAMANCA</t>
  </si>
  <si>
    <t>REPOSICION AMBULANCIA HOSPITAL DR. JOSÉ LUIS ARRAÑO, ANDACOLLO</t>
  </si>
  <si>
    <t>PROGRAMA TRANSFERENCIA PLAN EMERGENCIA HÍDRICA 2024, COMUNA DE LA HIGUERA</t>
  </si>
  <si>
    <t>PROGRAMA TRANSFERENCIA PLAN EMERGENCIA HÍDRICA 2024, COMUNA DE PAIHUANO</t>
  </si>
  <si>
    <t>PROGRAMA TRANSFERENCIA PLAN EMERGENCIA HÍDRICA 2024, COMUNA DE VICUÑA</t>
  </si>
  <si>
    <t>PROGRAMA TRANSFERENCIA PLAN EMERGENCIA HÍDRICA 2024, COMUNA DE OVALLE</t>
  </si>
  <si>
    <t>PROGRAMA TRANSFERENCIA PLAN EMERGENCIA HÍDRICA 2024, COMUNA DE RÍO HURTADO</t>
  </si>
  <si>
    <t>PROGRAMA TRANSFERENCIA PLAN EMERGENCIA HÍDRICA 2024, COMUNA DE LOS VILOS</t>
  </si>
  <si>
    <t>PROGRAMA TRANSFERENCIA PLAN EMERGENCIA HÍDRICA 2024, COMUNA DE SALAMANCA</t>
  </si>
  <si>
    <t>PROGRAMA DE EMERGENCIA HÍDRICA 2024 - LINEA 8 "TASA DE PEAJE VERANADAS 2024-2025"</t>
  </si>
  <si>
    <t>SUBSECRETARIA DE AGRICULTURA</t>
  </si>
  <si>
    <t>RECURSOS TRANSFERIDOS EN 2024</t>
  </si>
  <si>
    <t>MEJORAMIENTO AVDA. COSTANERA ENTRE 1 NORTE Y DAGOBERTO GODOY, COMUNA DE LOS VILOS</t>
  </si>
  <si>
    <t>TRANSFERENCIA SERVIU - ADQUISICIÓN DE TERRENOS, EN LAS COMUNAS DE: LA SERENA, VICUÑA, RÍO HURTADO, OVALLE E ILLAPEL</t>
  </si>
  <si>
    <t>TRANSFERENCIA EXPROPIACIÓN CALETA SIERRA</t>
  </si>
  <si>
    <t>MINISTERIO BIENES NACIONALES</t>
  </si>
  <si>
    <t>ASIGNACIÓN PRESUPUESTARIA REPRESENTADA CGR.</t>
  </si>
  <si>
    <t>ADQUISICIÓN DE AERONAVES REMOTAMENTE EQUIPADAS Y VEHÍCULO PARA LA ZONA COQUIMBO.</t>
  </si>
  <si>
    <t>REPOSICION VEHICULOS DE TRASLADO DE INTERNOS DE LOS RECINTOS PENALES.</t>
  </si>
  <si>
    <t>REPOSICION EQUIPAMIENTO DE SEGURIDAD DE LOS RECINTOS PENITENCIARIOS</t>
  </si>
  <si>
    <t>Adquisición de Aeronave no tripulada para Carabineros de la Región de Coquimbo (CAMCOPTER)</t>
  </si>
  <si>
    <t>SISTEMA AUTOMATIZADO DE IDENTIFICACIÓN BIOMÉTRICA (ABIS) PARA UNIDADES POLICIALES Y FRONTERIZAS PERTENECIENTES A LA POLICÍA DE INVESTIGACIONES DE CHILE (PDI)</t>
  </si>
  <si>
    <t>POLICÍA DE INVESTIGACIONES DE CHILE (PDI)</t>
  </si>
  <si>
    <t>REBAJA PRESUPUESTARIA TOTALMENTE TRAMITADA</t>
  </si>
  <si>
    <t>MEJORAMIENTO PLAZA
PUBLICA EL SAUCE, COMBARBALÁ</t>
  </si>
  <si>
    <t>REPOSICIÓN EQUIPOS INFORMÁTICOS PARA INVESTIGAR EL NARCOTRÁFICO EN LA REGIÓN DE COQUIMBO</t>
  </si>
  <si>
    <t>REPOSICION EQUIPO DE TOMOGRAFÍA COMPUTARIZADA PARA EL HOSPITAL SAN PABLO DE COQUIMBO</t>
  </si>
  <si>
    <t>REPOSICIÓN MAQUINARIAS Y
VEHÍCULOS DEL VERTEDERO MUNICIPAL DE SALAMANCA</t>
  </si>
  <si>
    <t>ADQUISICION DE EQUIPOS Y EQUIPAMIENTO
PARA LA SECCIÓN LABOCAR DE CARABINEROS COQUIMBO</t>
  </si>
  <si>
    <t>REPOSICION DE VEHÍCULOS SECCION
INVESTIGACIÓN POLICIAL REGIÓN DE COQUIMBO</t>
  </si>
  <si>
    <t>ADQUISICION DOS CAMIONETAS EQUIPADAS  PARA SEGURIDAD CIUDADANA Y PREVENCIÓN DEL DELITO COMUNA DE LA HIGUERA</t>
  </si>
  <si>
    <t>REPOSICIÓN LICEO POLITÉCNICO, COMUNA DE ILLAPEL</t>
  </si>
  <si>
    <t>ADQUISICION DE CAMIONES Y EQUIPOS PARA EL MANTENIMIENTO DE INFRAESTRUCTURA Y ARBOLADO</t>
  </si>
  <si>
    <t>REPOSICIÓN EQUIPAMIENTO PARA SALA DE ENDOSCOPÍA DEL HOSPITAL DE ILLAPEL</t>
  </si>
  <si>
    <t>CONSTRUCCIÓN EDIFICIO CARRERA DE MEDICINA, UNIVERSIDAD DE LA SERENA</t>
  </si>
  <si>
    <t>REPOSICIÓN 124 CAMAS HOSPITALES DE ALTA, MEDIANA Y BAJA COMPLEJIDAD SS COQUIMBO</t>
  </si>
  <si>
    <t>ADQUISICION TAXIBUS PARA TRASLADO DE BENEFICIARIOS DEL SISTEMA NACIONAL DE APOYOS Y CUIDADOS</t>
  </si>
  <si>
    <t>ADQUISICION DE EQUIPOS PARA PLAZA DE ABASTOS, COMUNA DE ILLAPEL</t>
  </si>
  <si>
    <t>TRANSFERENCIA DESARROLLO Y FOMENTO PRODUCTIVO DE LA PESCA ARTESANAL REGION DE COQUIMBO</t>
  </si>
  <si>
    <t>REPOSICIÓN DE VEHÍCULOS PARA TRASLADO DE PACIENTES DE DIÁLISIS COMUNA DE LA SERENA</t>
  </si>
  <si>
    <t>REPOSICIÓN ESTADIO MUNICIPAL DE PAIHUANO</t>
  </si>
  <si>
    <t>REPOSICIÓN AMBULANCIAS PARA LA REGIÓN DE COQUIMBO</t>
  </si>
  <si>
    <t>ADQUISICIÓN DE VEHICULOS PARA 
RONDAS MEDICAS COMUNA DE SALAMANCA</t>
  </si>
  <si>
    <t>TRANSFERENCIA PLAN FORTALECIMIENTO SOCIO PRODUCTIVO DE LA ACTIVIDAD CAPRINA PGZTR IV REGIÓN</t>
  </si>
  <si>
    <t>TRANSFERENCIA MODELO DE HIDROPONIA SOSTENIBLE PARA ZONAS REZAGADAS, REGIÓN DE COQUIMBO</t>
  </si>
  <si>
    <t>CONSERVACIÓN AVENIDA DEL MAR COMUNA DE LA SERENA</t>
  </si>
  <si>
    <t>CONSTRUCCIÓN CENTRO DE RESIDUOS SÓLIDOS, VICUÑA</t>
  </si>
  <si>
    <t>Universidad Católica del Norte - Validación de un probiótico con actividad antimicrobiana (40059265-0)</t>
  </si>
  <si>
    <t>Universidad Católica del Norte</t>
  </si>
  <si>
    <t>Universidad Católica del Norte - Autotoma para el tamizaje de virus papiloma humano (40059260-0)</t>
  </si>
  <si>
    <t>Universidad Católica del Norte - Innovación en la vigilancia de exposición a plaguicidas (40059259-0)</t>
  </si>
  <si>
    <t>Universidad Católica del Norte - Investigación determinación de resistencia a antibióticos en H. Pylori (40059258-0)</t>
  </si>
  <si>
    <t>Universidad Católica del Norte - Capacidades tecnológicas para reproducción de congrio (40059257-0)</t>
  </si>
  <si>
    <t>Centro Tecnológico de Innovación Acuícola - Soluciones tecnológicas para APES (40059263-0)</t>
  </si>
  <si>
    <t>C.T. Innovación Acuícola</t>
  </si>
  <si>
    <t>Centro Tecnológico de Innovación Acuícola - Investigación uso de bio controladores en el cultivo de ostiones (40059255-0)</t>
  </si>
  <si>
    <t>Universidad de La Serena - Transformación digital en la gestión portuaria (40059262-0)</t>
  </si>
  <si>
    <t>Universidad de La Serena - Investigación botryticida natural contra la pudrición gris en vides (40059261-0)</t>
  </si>
  <si>
    <t>Universidad de La Serena - Investigación desarrollo de malla para atrapanieblas eficiente (40059256-0)</t>
  </si>
  <si>
    <t>RECURSOS HÍDRICOS</t>
  </si>
  <si>
    <t>Universidad de Chile - Sanidad en ganado caprino, una mirada hacia el futuro (40059264-0)</t>
  </si>
  <si>
    <t>FRIL</t>
  </si>
  <si>
    <t xml:space="preserve"> CODIGO </t>
  </si>
  <si>
    <t>GASTO 2025</t>
  </si>
  <si>
    <t>CONSTRUCCION PARADERO DE BUSES DE HORCÓN, PAIHUANO.</t>
  </si>
  <si>
    <t>CONSTRUCCIÓN SERVICIOS HIGIENICOS CEMENTERIOS</t>
  </si>
  <si>
    <t>CONSTRUCCIÓN BAÑOS COMUNITARIOS EL DIVISADERO</t>
  </si>
  <si>
    <t>Construcción Alumbrado Público en Ciclovía Tramo Av. Circunvalación con Población Ariztía, Ovalle</t>
  </si>
  <si>
    <t>Construcción Alumbrado Público en Ciclovía Tramo Av. Circunvalación con Prolongación Benavente, Ovalle</t>
  </si>
  <si>
    <t>Conservación Puente Sector La Rinconada de Paihuano</t>
  </si>
  <si>
    <t>Construcción Sede Comunitaria Pisco Elqui</t>
  </si>
  <si>
    <t>Construcción Estación Médico Rural La Capilla, Combarbalá</t>
  </si>
  <si>
    <t>Construcción Cancha de pasto sintético El Chical, Canela</t>
  </si>
  <si>
    <t>CONSTRUCCIÓN PLAZA DOMINGO SANTA MARÍA, ANDACOLLO</t>
  </si>
  <si>
    <t>MEJORAMIENTO PLAZA CIUDAD DE LA SERENA, COMUNA DE ANDACOLLO</t>
  </si>
  <si>
    <t>CONSTRUCCIÓN ESTACIÓN MÉDICO RURAL, POTRERILLOS</t>
  </si>
  <si>
    <t>CONSTRUCCIÓN CANCHA PASTO SINTÉTICO EL TORO, COMUNA DE PUNITAQUI</t>
  </si>
  <si>
    <t>Mejoramiento Áreas De Juegos Infantiles Parque O´Higgins, Coquimbo</t>
  </si>
  <si>
    <t>Construcción Jardín Infantil Quelén Alto, comuna de Salamanca</t>
  </si>
  <si>
    <t>Ampliación de Alumbrado Público Sector Cancha Vieja, La Higuera</t>
  </si>
  <si>
    <t>Ampliación Estación Médico Rural La Estrella, La Serena</t>
  </si>
  <si>
    <t>Construcción Estación Médico Rural Quebrada De Talca, Comuna De La Serena</t>
  </si>
  <si>
    <t>Construcción Multicancha Villorrio Serón, Rio Hurtado</t>
  </si>
  <si>
    <t>Pavimentación Calle Puente de Piedra Illapel</t>
  </si>
  <si>
    <t>Construcción Plaza Memorial Ferroviario COVICO, Coquimbo</t>
  </si>
  <si>
    <t>Construcción Sede Social Mialqui, Comuna Monte Patria</t>
  </si>
  <si>
    <t>Conservación Techado Liceo Bicentenario de Excelencia Mistraliano, comuna de Paihuano</t>
  </si>
  <si>
    <t>Construcción Centro Comunitario Estación Médico Rural, El Manzano, Andacollo</t>
  </si>
  <si>
    <t>Construcción Pavimentación Calle El Santuario de La Isla, Combarbalá</t>
  </si>
  <si>
    <t>Construcción Baños Públicos en Plaza de Armas, Los Vilos</t>
  </si>
  <si>
    <t>Construcción Estación Medico Rural De Cerrillos Pobres, Comuna De Ovalle</t>
  </si>
  <si>
    <t>REPOSICION DE LUMINARIAS POBLACIÓN CARMELITANA, MAGALLANES MOURE Y VISTA HERMOSA,OVALLE</t>
  </si>
  <si>
    <t>MEJORAMIENTO ESPACIO RECREATIVO VILLA PUNTA DE ORO, PUNITAQUI</t>
  </si>
  <si>
    <t>CONSTRUCCION SEDE SOCIAL COMUNITARIA, AJIAL DE QUILES, COMUNA DE PUNITAQUI</t>
  </si>
  <si>
    <t>REPOSICION ESTACIÓN MÉDICO RURAL, PACLAS</t>
  </si>
  <si>
    <t>CONSTRUCCION ESTACION MEDICO RURAL DE COLLIGUAY COMUNA DE SALAMANCA</t>
  </si>
  <si>
    <t>MEJORAMIENTO INTEGRAL DE ACCESO PONIENTE COMUNA DE VICUNA</t>
  </si>
  <si>
    <t>ADQUISICION E INST DE LUMINARIAS FOTOVOLTAICAS CAMINO ACCESO RUTA D 345 LOCALIDAD DE GUALLIGUAICA VICUNA</t>
  </si>
  <si>
    <t>MEJORAMIENTO TERMINAL RODOVIARIO, VICUÑA</t>
  </si>
  <si>
    <t>MEJORAMIENTO SISTEMA ALCANTARILLADO LOTEO NUEVO AMANECER, PZG</t>
  </si>
  <si>
    <t>CONSTRUCCION CANCHA DE PASTO SINTETICO LA CORTADERA, CANELA</t>
  </si>
  <si>
    <t>CONSTRUCCION CANCHA DE PASTO SINTETICO MINCHA NORTE, CANELA</t>
  </si>
  <si>
    <t>CONSTRUCCION DE LUMINARIAS SOLARES, COMUNA DE RIO HURTADO</t>
  </si>
  <si>
    <t>INSTALACIÓN LUMINARIAS EN VARIAS LOCALIDADES DE COMBARBALÁ</t>
  </si>
  <si>
    <t>MEJORAMIENTO RECINTO MUNICIPAL PICHASCA</t>
  </si>
  <si>
    <t>MEJORAMIENTO ESPACIOS DE RECREACION CASINO LAS BREAS</t>
  </si>
  <si>
    <t>CONSTRUCCION PLAZA DE JUEGOS DE LAS PIRCAS, CANELA</t>
  </si>
  <si>
    <t>MEJORAMIENTO ALUMBRADO PÚBLICO EN CALLES, PASAJES EN DIVERSOS  SECTORES DE LA COMUNA, CANELA</t>
  </si>
  <si>
    <t>CONSTRUCCION TECHADO MULTICANCHA CLUB DEPORTIVO UNION LAS TAZAS, CANELA</t>
  </si>
  <si>
    <t>HABILITACION CENTRO DE ATENCIÓN CIUDADANA PICHASCA</t>
  </si>
  <si>
    <t>MEJORAMIENTO PAVIMENTACIÓN DE CALZADAS, VEREDAS Y AGUAS LLUVIAS CALLES 1,2 Y 4, POBLACIÓN MONTEGABRIELA, MONTEGRANDE, COMUNA PAIHUANO</t>
  </si>
  <si>
    <t>CONSTRUCCION MULTICANCHA VILLA EL ESFUERZO III</t>
  </si>
  <si>
    <t>MEJORAMIENTO ESPACIO PÚBLICO, PASEO BALMACEDA, PAIHUANO, COMUNA DE PAIHUANO</t>
  </si>
  <si>
    <t>TOTAL REGIONAL</t>
  </si>
  <si>
    <t>CONSTRUCCION JARDIN INFANTIL Y SALA CUNA LOS CHANGUITOS, COQUIMBO</t>
  </si>
  <si>
    <t>CONSTRUCCION EDIFICIO CONSISTORIAL MUNICIPALIDAD LOS VILOS</t>
  </si>
  <si>
    <t>CONSTRUCCION VIAS DE EVACUACION ZONA COSTERA LA SERENA COQUIMBO (EJECUCION)</t>
  </si>
  <si>
    <t>CONSTRUCCION CASA DE LA CULTURA COMUNAL, LOS VILOS</t>
  </si>
  <si>
    <t>CONSTRUCCION EDIFICIO CONSISTORIAL COMUNA DE LA SERENA (diseño)</t>
  </si>
  <si>
    <t>MEJORAMIENTO ESPACIOS PUBLICOS SECTOR HUAMPULLA</t>
  </si>
  <si>
    <t>CONSTRUCCION ESTADIO MUNICIPAL DE CANELA, CANELA</t>
  </si>
  <si>
    <t>HABILITACION CASA DE LA MEMORIA COMUNA DE COQUIMBO (EJECUCION)</t>
  </si>
  <si>
    <t>CONSTRUCCION CESFAM SAN ISIDRO - CALINGASTA, VICUÑA.</t>
  </si>
  <si>
    <t xml:space="preserve">REPOSICION CONSULTORIO GENERAL URBANO DE SAN JUAN </t>
  </si>
  <si>
    <t>CONSTRUCCION CESFAM II TIERRAS BLANCAS, COQUIMBO</t>
  </si>
  <si>
    <t>CONSTRUCCION III CESFAM URBANO, OVALLE</t>
  </si>
  <si>
    <t>REPOSICION ESTADIO MUNICIPAL DE COMBARBALA</t>
  </si>
  <si>
    <t>REPOSICION CES FAMILIAR, RIO HURTADO</t>
  </si>
  <si>
    <t>REST. CASA GABRIELA MISTRAL EN LAS CIAS., LA SERENA</t>
  </si>
  <si>
    <t>CONSTRUCCION CASA DE ACOGIDA DE COMBARBALA</t>
  </si>
  <si>
    <t>CONSERVACION CAMINO BASICO RUTA D-457, SAMO ALTO-ANDACOLLO, TR-ELQUI</t>
  </si>
  <si>
    <t>RESTAURACION MONUMENTO HISTORICO CASA PIÑERA, LA SERENA (DISEÑO)</t>
  </si>
  <si>
    <t>REPOSICION CUARTEL BICRIM COQUIMBO</t>
  </si>
  <si>
    <t>REPOSICION CUARTEL DE BOMBEROS DE CERRILLOS DE TAMAYA, OVALLE</t>
  </si>
  <si>
    <t>MEJORAMIENTO ESTADIO MUNICIPAL DE VICUÑA</t>
  </si>
  <si>
    <t>REPOSICION INSTITUTO DE REHABILITACION TELETON</t>
  </si>
  <si>
    <t>AMPLIACION EDIFICIO CONSISTORIAL DE OVALLE (DISEÑO)</t>
  </si>
  <si>
    <t>CONSTRUCCION PARQUE CHAÑARAL ALTO MONTE PATRIA</t>
  </si>
  <si>
    <t>REPOSICION HOGAR MASCULINO DE PUNITAQUI</t>
  </si>
  <si>
    <t>HABILITACION CENTRO EXTENSION CULTURAL PARA EL PATRIMONIO (Casa Giliberto)</t>
  </si>
  <si>
    <t>MEJORAMIENTO CANCHA DE FUTBOL DE SERON, RIO HURTADO</t>
  </si>
  <si>
    <t>CONSERVACION PAVIMENTOS  AÑO 2017, REGION DE COQUIMBO</t>
  </si>
  <si>
    <t>AMPLIACIÓN EDIFICIO CONSISTORIAL, ANDACOLLO</t>
  </si>
  <si>
    <t>DIAGNOSTICO PLAN MAESTRO CICLOVIAS CIUDAD DE OVALLE (ESTUDIO)</t>
  </si>
  <si>
    <t>CONSERVACIÓN CBC RUTA D-701, SECTOR: LAS RAMADAS - EL CIÉNAGO, PUNITAQUI</t>
  </si>
  <si>
    <t>CONSTRUCCIÓN URBANIZACIÓN BÁSICA LOCALIDAD DE ALTOVALSOL, COMUNA DE LA SERENA (diseño)</t>
  </si>
  <si>
    <t>MEJORAMIENTO CANCHA DE FUTBOL DE HURTADO</t>
  </si>
  <si>
    <t>REPOSICION TENENCIA COMUNA DE PAIHUANO</t>
  </si>
  <si>
    <t>REPOSICION COLEGIO YUNGAY DE EDUCACION ESPECIAL OVALLE (EJECUCION)</t>
  </si>
  <si>
    <t>CONST. CANCHA SINTETICA COMPLEJO DEPORTIVO LAS ROSAS, COQUIMBO</t>
  </si>
  <si>
    <t>CONSTRUCCION INTERCONEXION VIAL RUTA 41 CH-BORDE COSTERO PROV ELQUI (prefact)</t>
  </si>
  <si>
    <t>RESTAURACION IGLESIA DE SOTAQUI, COMUNA DE OVALLE (diseño)</t>
  </si>
  <si>
    <t>MEJOR. CALLE CAUPOLICAN, SECTOR CENTRO CIVICO, PUNITAQUI</t>
  </si>
  <si>
    <t>MEJOR. CAMINO ILLAPEL-CUZ CUZ, COMUNA DE ILLAPEL</t>
  </si>
  <si>
    <t>CONST. PARQUE URBANO SECTOR EL BOSQUE, LOS VILOS</t>
  </si>
  <si>
    <t>MEJOR. COMPLEJO DEPORTIVO JUAN SOLDADO, COMUNA DE LA SERENA</t>
  </si>
  <si>
    <t>MEJOR. COMPLEJO DEPORTIVO DE PICHASCA, RIO HURTADO</t>
  </si>
  <si>
    <t>MEJORAMIENTO MULTICANCHA FUNDINA, RIO HURTADO</t>
  </si>
  <si>
    <t>MEJORAMIENTO CALLE EL ESFUERZO DE PICHIDANGUI, COM. DE LOS VILOS</t>
  </si>
  <si>
    <t>AMPL. PASEO SEMIPEATONAL CALLE J.T. URMENETA, ANDACOLLO (diseño)</t>
  </si>
  <si>
    <t>MEJOR. ESPACIO PUBLICO AVDA BELTRAN AMENABAR, ANDACOLLO</t>
  </si>
  <si>
    <t>REPOS. CENTRO COMUNITARIO DE REHABILITACION, COM. DE MONTE PATRIA</t>
  </si>
  <si>
    <t>CONSTRUCCION MACRO DEPOSITO ARQUEOLOGICO  REGIONAL, REGION DE COQUIMBO (prefact)</t>
  </si>
  <si>
    <t>MEJORAMIENTO PLAZA SERGIO SILVA, LOS VILOS (diseño)</t>
  </si>
  <si>
    <t>REPOSICION POSTA DE SALUD RURAL DE LLIMPO, COMUNA DE SALAMANCA (diseño)</t>
  </si>
  <si>
    <t>REPOSICION POSTA DE SALUD RURAL DE CUNCUMEN, COMUNA DE SALAMANCA (diseño)</t>
  </si>
  <si>
    <t>REPOSICION POSTA DE TAHUINCO, COM. DE SALAMANCA (diseño)</t>
  </si>
  <si>
    <t>CONSTRUCCION P.T.A.S Y RED DE ALCANTARILLADO DE CAREN, COM. DE MTE PATRIA (factib)</t>
  </si>
  <si>
    <t>CONSTRUCCION P.T.A.S Y RED DE ALCANTARILLADO DE RAPEL, COM. DE MTE PATRIA (factib)</t>
  </si>
  <si>
    <t>CONSTRUCCION P.T.A.S Y RED DE ALCANTARILLADO EL TOME, COM. DE MTE PATRIA (factib)</t>
  </si>
  <si>
    <t>MEJORAMIENTO ESPACIO PUBLICO SECTOR ALTO ILLAPEL, COM. DE ILLAPEL</t>
  </si>
  <si>
    <t>CONST. CUBIERTA AEREA DE EJERCICIOS Y EQUIPAMIENTO PARA RECREACIÓN COLEGIO DE PICHASCA</t>
  </si>
  <si>
    <t>CONST. PLAZA DE ABASTOS VILLA LAMBERT, SECTOR LAS CIAS, LA SERENA (diseño)</t>
  </si>
  <si>
    <t>CONSTRUCCION CENTRO DE DIALISIS LOS VILOS</t>
  </si>
  <si>
    <t>CONST. ESTADIO EL PUEBLO DE CHAÑARAL ALTO, MONTE PATRIA</t>
  </si>
  <si>
    <t>NORMALIZACIÓN HOSPITAL DR HUMBERTO ELORZA CORTES ILLAPEL (DISEÑO)</t>
  </si>
  <si>
    <t>REPOSICION JARDIN INFANTIL MI PEQUEÑO TESORO ILLAPEL, COM DE ILLAPEL</t>
  </si>
  <si>
    <t>CONST. PARQUE URBANO DEL ENCUENTRO COMUNITARIO PUNITAQUI</t>
  </si>
  <si>
    <t>HABILITACION SALA PARA RESONADOR MAGNETICO Y ADECUACIONES EN U. IMAGENOLOGIA, H. CQBO</t>
  </si>
  <si>
    <t>CONSTRUCCION OBRAS DE URBANIZACION LOCALIDAD DE LOS MORALES, MONTE PATRIA (factibilidad)</t>
  </si>
  <si>
    <t>CONSERVACION CABAÑA PDI JUNTAS DEL TORO</t>
  </si>
  <si>
    <t>CONSTRUCCION ELECTRIFICACION RURAL LAS CAÑAS, CANELA</t>
  </si>
  <si>
    <t>CONST. RED ELECTRICA DE CENTINELA II-CARRIZAL, COMBARBALA</t>
  </si>
  <si>
    <t>CONST. SISTEMA DE ELECTRIFICACION RURAL AJIAL DE QUILES, PUNITAQUI</t>
  </si>
  <si>
    <t>AMPLIACION EDIFICIO CONSISTORIAL DE OVALLE (ejecución)</t>
  </si>
  <si>
    <t>MEJORAMIENTO PARQUE URBANO AVDA SUR, COMBARBALA</t>
  </si>
  <si>
    <t>CONST. PARQUE RECREATIVO SAN JOAQUIN, LA SERENA</t>
  </si>
  <si>
    <t>MEJOR. CANCHA N°1, COMUNA DE SALAMANCA</t>
  </si>
  <si>
    <t>RESTAURACION DEL CONJUNTO TORRE BAUER, VICUÑA</t>
  </si>
  <si>
    <t>HABILITACION CENTRO DE ARTE Y CULTURA "ESPACIO ESTACION", VICUÑA</t>
  </si>
  <si>
    <t>CONST. OBRAS DE URBANIZACIÓN LOCALIDAD DE PEDREGAL, MTE PATRIA (FACTIBILIDAD)</t>
  </si>
  <si>
    <t>HABILITACION BASE SAMU INTERVENTORA SALAMANCA</t>
  </si>
  <si>
    <t>CONSERVACION EDIFICIO CONSISTORIAL COMBARBALA</t>
  </si>
  <si>
    <t>CONSTRUCCION CENTRO DE DIALISIS DE VICUÑA</t>
  </si>
  <si>
    <t>MEJORAMIENTO CANCHA COMPLEJO DEPORTIVO EL MILAGRO ANFA LA PAMPA</t>
  </si>
  <si>
    <t>CONSTRUCCION CENTRO DE DIFUSION DEL PATRIMONIO COMUNAL, RIO HURTADO.</t>
  </si>
  <si>
    <t>CONSTRUCCION PLAZA DE ABASTOS EN LAS CIAS, LA SERENA</t>
  </si>
  <si>
    <t>REPOS. COLEGIO DARIO SALAS, LAS COMPAÑIAS, LA SERENA</t>
  </si>
  <si>
    <t>REPOSICION HOGAR ESTUDIANTIL  COMBARBALA</t>
  </si>
  <si>
    <t>REPOSICION ESCUELA MARCOS RIGOBERTO PIZARRO, SAN JULIAN, OVALLE</t>
  </si>
  <si>
    <t>REPOSICION ESCUELA SAN ANTONIO DE LA VILLA, BARRAZA, COMUNA DE OVALLE</t>
  </si>
  <si>
    <t>CONSERVACION EDIFICIO CONSISTORIAL DE ILLAPEL</t>
  </si>
  <si>
    <t>REPOSICION ESCUELA BASICA CANELA ALTA, CANELA</t>
  </si>
  <si>
    <t>REPOSICION POSTA DE SALUD RURAL GUANAQUEROS</t>
  </si>
  <si>
    <t>CONSTRUCCION PSR PICHIDANGUI, LOS VILOS</t>
  </si>
  <si>
    <t>CONSTRUCCION CUARTEL DE BOMBEROS DE HURTADO, RIO HURTADO</t>
  </si>
  <si>
    <t>MEJORAMIENTO CANCHA EL TAMBO, SALAMANCA</t>
  </si>
  <si>
    <t>REPOSICION POSTA DE SALUD RURAL EL DIVISADERO, COM. DE PUNITAQUI (diseño)</t>
  </si>
  <si>
    <t>CONST. EDIFICIO COMUNITARIO SECTOR CENTRO DE COQUIMBO</t>
  </si>
  <si>
    <t>REPOSICION POSTA DE SALUD RURAL EL DURAZNO, COMBARBALA (diseño)</t>
  </si>
  <si>
    <t>REPOSICION ESCUELA CONCENTRACION FRONTERIZA, COMUNA DE MTE PATRIA</t>
  </si>
  <si>
    <t>REPOSICION AVENIDA IGNACIO SILVA, COMUNA DE ILLAPEL</t>
  </si>
  <si>
    <t>CONSERVACION PAVIMENTOS DE LA REGION DE COQUIMBO AÑO 2019</t>
  </si>
  <si>
    <t>REPOSICION CUARTEL CUERPO DE BOMBEROS DE LA HIGUERA</t>
  </si>
  <si>
    <t>CONST. SALA CUNA Y JARDIN INFANTIL LOS TAPIA, MTE PATRIA</t>
  </si>
  <si>
    <t>REPOS. J. INFANTIL Y SALA CUNA SIRENITA, CALETA HORNOS, LA HIGUERA</t>
  </si>
  <si>
    <t>MEJOR. CANCHA QUELEN, COMUNA DE SALAMANCA</t>
  </si>
  <si>
    <t>REPOS. CUARTEL 3RA CIA DE BOMBEROS DE CHILLEPIN, SALAMANCA</t>
  </si>
  <si>
    <t>MEJORAMIENTO VIALIDAD URBANA A TRAVÉS DE MEDIDAS DE BAJO COSTO, COQUIMBO</t>
  </si>
  <si>
    <t>CONSTRUCCION MERCADO DEL MAR, COMUNA DE COQUIMBO</t>
  </si>
  <si>
    <t>REPOSICION CENTRO DE SALUD DE CAREN , COMUNA DE MONTE PATRIA</t>
  </si>
  <si>
    <t>CONST. ESTACION DE TRANSFERENCIA DE RESIDUOS SOLIDOS DOMICILIARIOS Y ASIMILABLES, COMUNA DE CANELA (diseño)</t>
  </si>
  <si>
    <t>CONSTRUCCIÓN OBRAS DE URBANIZACIÓN BELLAVISTA - CERES - QDA DE MONARDEZ, LA SERENA (diseño)</t>
  </si>
  <si>
    <t>MEJORAMIENTO PAVIMENTACIÓN AV. ALESSANDRI ENTRE CALLE P.N FRAY JORGE Y PJE SAN RAMON, COQUIMBO</t>
  </si>
  <si>
    <t>CODIGO BIP</t>
  </si>
  <si>
    <t xml:space="preserve">ETAPA </t>
  </si>
  <si>
    <t>NOMBRE PROYECTO</t>
  </si>
  <si>
    <t xml:space="preserve">SECTOR </t>
  </si>
  <si>
    <t>UNIDAD TECNICA</t>
  </si>
  <si>
    <t>ESTADO</t>
  </si>
  <si>
    <t>COSTO TOTAL                   M$</t>
  </si>
  <si>
    <t>PRESUPUESTO 2022 M$</t>
  </si>
  <si>
    <t>Ejecución</t>
  </si>
  <si>
    <t>APLICACIÓN LETRA A) DEL ARTICULO CUARTO TRANSITORIO DE LA LEY Nº 20.378 (SIN DISTRIBUIR)</t>
  </si>
  <si>
    <t>018</t>
  </si>
  <si>
    <t>SUBSECRETARÍA DE PREVENCIÓN DEL DELITO - PLAN CALLE SEGURA</t>
  </si>
  <si>
    <t>SEGURIDAD PÚBLICA</t>
  </si>
  <si>
    <t>SUBSECRETARIA PREVENCION DEL DELITO</t>
  </si>
  <si>
    <t xml:space="preserve">NORMALIZACIÓN SOLUCIONES SANITARIAS Y URBANIZACIÓN, CAIMANES, COMUNA DE LOS VILOS </t>
  </si>
  <si>
    <t>LOS VILOS</t>
  </si>
  <si>
    <t>CONVENIO</t>
  </si>
  <si>
    <t>CONSTRUCCIÓN OBRAS DE URBANIZACIÓN BÁSICA LA HIGUERA</t>
  </si>
  <si>
    <t>LA HIGUERA</t>
  </si>
  <si>
    <t>CONSTRUCCIÓN DE SOLUCIONES SANITARIAS LOCALIDAD NUEVA AURORA, OVALLE.</t>
  </si>
  <si>
    <t>CONSTRUCCION SOLUCIONES SANITARIAS HUENTELAUQUEN SUR, CANELA.</t>
  </si>
  <si>
    <t>CONSTRUCCION SOLUCIONES SANITARIAS DE TAHUINCO, SALAMANCA</t>
  </si>
  <si>
    <t>CONSTRUCCION SOLUCIONES SANITARIAS E INTERMEDIAS PISCO ELQUI, PAIHUANO</t>
  </si>
  <si>
    <t>MEJORAMIENTO SERVICIOS BASICOS Y URBANIZACION GUANAQUEROS, COQUIMBO</t>
  </si>
  <si>
    <t>405</t>
  </si>
  <si>
    <t>EJECUCION</t>
  </si>
  <si>
    <t>SANEAMIENTO REZAGO DE LA PEQUEÑA PROPIEDAD RAÍZ, REGIÓN DE COQUIMBO, 2018-2020</t>
  </si>
  <si>
    <t>406</t>
  </si>
  <si>
    <t>TRANSFERENCIA PARA INVERSIÓN Y FOMENTO AL RIEGO OUAS</t>
  </si>
  <si>
    <t>COMISIÓN NACIONAL DE RIEGO (CNR)</t>
  </si>
  <si>
    <t>407</t>
  </si>
  <si>
    <t>TRANSFERENCIA FORTALECIMIENTO PRODUCTIVO Y SEGURIDAD MINERA</t>
  </si>
  <si>
    <t>SUBSECRETARÍA DE MINERIA</t>
  </si>
  <si>
    <t>408</t>
  </si>
  <si>
    <t>TRANSFERENCIA CONCURSO REGIONAL DE EMPRENDIMIENTO CREE 2019</t>
  </si>
  <si>
    <t>FOSIS</t>
  </si>
  <si>
    <t xml:space="preserve">SERVICIO DE SALUD COQUIMBO CAPACITACIÓN BECAS MÉDICOS </t>
  </si>
  <si>
    <t>SERVICIO DE SALUD COQUIMBO</t>
  </si>
  <si>
    <t>TRANSFERENCIA PROGRAMA REACTIVATE COQUIMBO</t>
  </si>
  <si>
    <t>TRANSFERENCIA REGIONAL DE FOMENTO PRODUCTIVO PARA EL DESARROLLO DE LA PESCA ARTESANAL</t>
  </si>
  <si>
    <t>TRANSFERENCIA PLAN DE MARKETING 360 REPOSICIONAMIENTO DESTINO TURISTICO REGIÓN DE COQUIMBO</t>
  </si>
  <si>
    <t>244</t>
  </si>
  <si>
    <t>Transferencia para el desarrollo y fomento de la pesca artesanal en la Región de Coquimbo</t>
  </si>
  <si>
    <t>SERNAPESCA</t>
  </si>
  <si>
    <t>211</t>
  </si>
  <si>
    <t>148</t>
  </si>
  <si>
    <t>TRANSFERENCIA APOYO AL DESARROLLO DE LA COMPETITIVIDAD EN PLAN ZONAS REZAGADAS</t>
  </si>
  <si>
    <t>418</t>
  </si>
  <si>
    <t>RECUPERACION RESTAURACIÓN HIDROLÓGICA FORESTAL MICROCUENCAS ZR</t>
  </si>
  <si>
    <t>TRANSFERENCIA FORTALECIMIENTO Y DESARROLLO DE COMPETENCIAS DE LA AFC, COMUNAS ZR</t>
  </si>
  <si>
    <t>INDAP</t>
  </si>
  <si>
    <t>TRANSFERENCIA PROGRAMA PRODUCCIÓN LIMPIA PARA MIPYMES DE COMUNAS REZAGADAS</t>
  </si>
  <si>
    <t>CAPACITACIÓN AUTONOMÍA ECONÓMICA DE LA MUJER</t>
  </si>
  <si>
    <t>SERNAMEG</t>
  </si>
  <si>
    <t>CONVENIO TT</t>
  </si>
  <si>
    <t>TRANSFERENCIA DESARROLLO PARA MYPIMES, EMPRENDEDORES Y GRUPOS EMPRESARIALES</t>
  </si>
  <si>
    <t>CAPACITACIÓN INTERNACIONALIZACIÓN-ZONAS REZAGADAS REGION COQUIMBO</t>
  </si>
  <si>
    <t>TRANSFERENCIA PROGRAMA FORTALECIMIENTO DE EXPERIENCIAS TURISTICAS EN ZONAS REZAGADAS</t>
  </si>
  <si>
    <t>TRANSFERENCIA PROSPECCIÓN Y FORTALECIMIENTO DE PROCESAMIENTO DE MINERALES EN ZONAS REZAGADAS</t>
  </si>
  <si>
    <t>SEREMI MINERIA</t>
  </si>
  <si>
    <t>429</t>
  </si>
  <si>
    <t>TRANSFERENCIA APOYO EN REGULARIZACIÓN DE MYPE DE LAS COMUNAS REZAGADAS, REGIÓN DE COQUIMBO</t>
  </si>
  <si>
    <t>242</t>
  </si>
  <si>
    <t>SEREMI MEDIO AMBIENTE - Capacitación Plan de manejo sitio Ramsar Huentelauquén</t>
  </si>
  <si>
    <t>SEREMI MEDIO AMBIENTE</t>
  </si>
  <si>
    <t>253</t>
  </si>
  <si>
    <t>Mejoramiento competitividad empresarial zonas rezago CORFO 2018</t>
  </si>
  <si>
    <t>410</t>
  </si>
  <si>
    <t>413</t>
  </si>
  <si>
    <t>BOTRITICIDAS ORGÁNICOS PARA CONTROLAR BOTRYTIS CINÉREA</t>
  </si>
  <si>
    <t>416</t>
  </si>
  <si>
    <t>COMITÉS DE AGUA POTABLE RURAL CAP</t>
  </si>
  <si>
    <t>417</t>
  </si>
  <si>
    <t>INNOVACIÓN TECNOLÓGICA PARA LA ATENCIÓN EN EL SRCEI</t>
  </si>
  <si>
    <t>PROVISIÓN FIC SIN DISTRIBUIR (NUEVO)</t>
  </si>
  <si>
    <t>SIN DISTRIBUIR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</si>
</sst>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_-* #,##0.00\ _€_-;\-* #,##0.00\ _€_-;_-* &quot;-&quot;??\ _€_-;_-@_-"/>
    <numFmt numFmtId="168" formatCode="_-[$€-2]\ * #,##0.00_-;\-[$€-2]\ * #,##0.00_-;_-[$€-2]\ * &quot;-&quot;??_-"/>
    <numFmt numFmtId="169" formatCode="#,##0;\(#,##0\)"/>
    <numFmt numFmtId="170" formatCode="0.0%"/>
    <numFmt numFmtId="171" formatCode="_-* #,##0.00\ _p_t_a_-;\-* #,##0.00\ _p_t_a_-;_-* &quot;-&quot;??\ _p_t_a_-;_-@_-"/>
    <numFmt numFmtId="172" formatCode="_-* #,##0.00\ [$€]_-;\-* #,##0.00\ [$€]_-;_-* &quot;-&quot;??\ [$€]_-;_-@_-"/>
    <numFmt numFmtId="173" formatCode="General_)"/>
    <numFmt numFmtId="174" formatCode="_-* #,##0.00\ _P_t_s_-;\-* #,##0.00\ _P_t_s_-;_-* &quot;-&quot;??\ _P_t_s_-;_-@_-"/>
    <numFmt numFmtId="175" formatCode="#,##0.000"/>
    <numFmt numFmtId="176" formatCode="0.000"/>
    <numFmt numFmtId="177" formatCode="000"/>
    <numFmt numFmtId="178" formatCode="#,##0.000;\(#,##0.000\)"/>
    <numFmt numFmtId="179" formatCode="#,##0.0"/>
  </numFmts>
  <fonts count="64">
    <font>
      <sz val="11"/>
      <color theme="1"/>
      <name val="Calibri"/>
      <family val="2"/>
      <scheme val="minor"/>
    </font>
    <font>
      <sz val="9"/>
      <name val="Futura Bk BT"/>
      <family val="2"/>
    </font>
    <font>
      <b/>
      <sz val="9"/>
      <name val="Futura Bk BT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gobCL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b/>
      <sz val="10"/>
      <name val="Futura Bk BT"/>
      <family val="2"/>
    </font>
    <font>
      <sz val="10"/>
      <color theme="1"/>
      <name val="Futura Bk BT"/>
      <family val="2"/>
    </font>
    <font>
      <sz val="10"/>
      <name val="Futura Bk BT"/>
      <family val="2"/>
    </font>
    <font>
      <b/>
      <sz val="10"/>
      <color theme="1"/>
      <name val="Futura Bk BT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 tint="0.499984740745262"/>
      <name val="Futura Bk BT"/>
      <family val="2"/>
    </font>
    <font>
      <b/>
      <sz val="12"/>
      <color theme="1"/>
      <name val="Futura Bk BT"/>
      <family val="2"/>
    </font>
    <font>
      <b/>
      <sz val="14"/>
      <color theme="1"/>
      <name val="Futura Bk BT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Futura Bk BT"/>
      <family val="2"/>
    </font>
    <font>
      <b/>
      <sz val="11"/>
      <color theme="1"/>
      <name val="Futura Bk BT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name val="Futura Bk BT"/>
      <family val="2"/>
    </font>
    <font>
      <b/>
      <sz val="16"/>
      <name val="Futura Bk BT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name val="Calibri"/>
      <family val="2"/>
      <scheme val="minor"/>
    </font>
    <font>
      <b/>
      <sz val="12"/>
      <name val="Futura Bk BT"/>
      <family val="2"/>
    </font>
    <font>
      <sz val="11"/>
      <name val="Futura Bk BT"/>
      <family val="2"/>
    </font>
    <font>
      <sz val="11"/>
      <name val="Calibri"/>
      <family val="2"/>
      <scheme val="minor"/>
    </font>
    <font>
      <sz val="9"/>
      <color theme="1"/>
      <name val="Futura Bk BT"/>
      <family val="2"/>
    </font>
    <font>
      <b/>
      <sz val="10"/>
      <color rgb="FF000000"/>
      <name val="Futura Bk BT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Futura Bk BT"/>
      <family val="2"/>
    </font>
    <font>
      <b/>
      <sz val="9"/>
      <color rgb="FF00000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168" fontId="3" fillId="0" borderId="0"/>
    <xf numFmtId="168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9" borderId="0" applyNumberFormat="0" applyBorder="0" applyAlignment="0" applyProtection="0"/>
    <xf numFmtId="0" fontId="32" fillId="20" borderId="0" applyNumberFormat="0" applyBorder="0" applyAlignment="0" applyProtection="0"/>
    <xf numFmtId="0" fontId="33" fillId="22" borderId="13" applyNumberFormat="0" applyAlignment="0" applyProtection="0"/>
    <xf numFmtId="0" fontId="34" fillId="23" borderId="14" applyNumberFormat="0" applyAlignment="0" applyProtection="0"/>
    <xf numFmtId="0" fontId="35" fillId="23" borderId="13" applyNumberFormat="0" applyAlignment="0" applyProtection="0"/>
    <xf numFmtId="0" fontId="36" fillId="0" borderId="15" applyNumberFormat="0" applyFill="0" applyAlignment="0" applyProtection="0"/>
    <xf numFmtId="0" fontId="37" fillId="24" borderId="16" applyNumberFormat="0" applyAlignment="0" applyProtection="0"/>
    <xf numFmtId="0" fontId="38" fillId="0" borderId="0" applyNumberFormat="0" applyFill="0" applyBorder="0" applyAlignment="0" applyProtection="0"/>
    <xf numFmtId="0" fontId="9" fillId="25" borderId="17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1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41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41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41" fillId="46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172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43" fillId="0" borderId="0"/>
    <xf numFmtId="0" fontId="3" fillId="25" borderId="17" applyNumberFormat="0" applyFont="0" applyAlignment="0" applyProtection="0"/>
    <xf numFmtId="9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322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3" fontId="7" fillId="4" borderId="1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3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3" fontId="14" fillId="4" borderId="1" xfId="0" applyNumberFormat="1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vertical="center" wrapText="1"/>
    </xf>
    <xf numFmtId="169" fontId="13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9" fontId="15" fillId="0" borderId="1" xfId="0" applyNumberFormat="1" applyFont="1" applyBorder="1" applyAlignment="1">
      <alignment vertical="center" wrapText="1"/>
    </xf>
    <xf numFmtId="169" fontId="15" fillId="0" borderId="0" xfId="0" applyNumberFormat="1" applyFont="1" applyAlignment="1">
      <alignment vertical="center" wrapText="1"/>
    </xf>
    <xf numFmtId="10" fontId="15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13" fillId="9" borderId="2" xfId="0" applyFont="1" applyFill="1" applyBorder="1" applyAlignment="1">
      <alignment horizontal="center" vertical="center" wrapText="1"/>
    </xf>
    <xf numFmtId="169" fontId="15" fillId="0" borderId="0" xfId="0" applyNumberFormat="1" applyFont="1" applyAlignment="1">
      <alignment horizontal="right" vertical="center"/>
    </xf>
    <xf numFmtId="3" fontId="15" fillId="10" borderId="6" xfId="0" applyNumberFormat="1" applyFont="1" applyFill="1" applyBorder="1" applyAlignment="1">
      <alignment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vertical="center" wrapText="1"/>
    </xf>
    <xf numFmtId="169" fontId="13" fillId="9" borderId="6" xfId="0" applyNumberFormat="1" applyFont="1" applyFill="1" applyBorder="1" applyAlignment="1">
      <alignment vertical="center" wrapText="1"/>
    </xf>
    <xf numFmtId="3" fontId="13" fillId="9" borderId="5" xfId="0" applyNumberFormat="1" applyFont="1" applyFill="1" applyBorder="1" applyAlignment="1">
      <alignment horizontal="right" vertical="center" wrapText="1"/>
    </xf>
    <xf numFmtId="3" fontId="13" fillId="9" borderId="6" xfId="0" applyNumberFormat="1" applyFont="1" applyFill="1" applyBorder="1" applyAlignment="1">
      <alignment vertical="center" wrapText="1"/>
    </xf>
    <xf numFmtId="169" fontId="13" fillId="8" borderId="1" xfId="0" applyNumberFormat="1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 wrapText="1"/>
    </xf>
    <xf numFmtId="169" fontId="13" fillId="9" borderId="2" xfId="0" applyNumberFormat="1" applyFont="1" applyFill="1" applyBorder="1" applyAlignment="1">
      <alignment vertical="center" wrapText="1"/>
    </xf>
    <xf numFmtId="10" fontId="15" fillId="0" borderId="1" xfId="0" applyNumberFormat="1" applyFont="1" applyBorder="1" applyAlignment="1">
      <alignment horizontal="right" vertical="center" wrapText="1"/>
    </xf>
    <xf numFmtId="170" fontId="15" fillId="0" borderId="1" xfId="0" applyNumberFormat="1" applyFont="1" applyBorder="1" applyAlignment="1">
      <alignment horizontal="right" vertical="center" wrapText="1"/>
    </xf>
    <xf numFmtId="169" fontId="1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8" borderId="1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3" fillId="0" borderId="0" xfId="1" applyAlignment="1">
      <alignment horizontal="right" vertical="center"/>
    </xf>
    <xf numFmtId="169" fontId="13" fillId="9" borderId="1" xfId="0" applyNumberFormat="1" applyFont="1" applyFill="1" applyBorder="1" applyAlignment="1">
      <alignment horizontal="right" vertical="center" wrapText="1"/>
    </xf>
    <xf numFmtId="169" fontId="16" fillId="10" borderId="1" xfId="0" applyNumberFormat="1" applyFont="1" applyFill="1" applyBorder="1" applyAlignment="1">
      <alignment vertical="center" wrapText="1"/>
    </xf>
    <xf numFmtId="3" fontId="16" fillId="10" borderId="1" xfId="0" applyNumberFormat="1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14" fontId="17" fillId="0" borderId="0" xfId="0" applyNumberFormat="1" applyFont="1" applyAlignment="1">
      <alignment vertical="center"/>
    </xf>
    <xf numFmtId="169" fontId="15" fillId="0" borderId="0" xfId="0" applyNumberFormat="1" applyFont="1" applyAlignment="1">
      <alignment horizontal="right" vertical="center" wrapText="1"/>
    </xf>
    <xf numFmtId="0" fontId="18" fillId="9" borderId="1" xfId="0" applyFont="1" applyFill="1" applyBorder="1" applyAlignment="1">
      <alignment horizontal="left" vertical="center"/>
    </xf>
    <xf numFmtId="169" fontId="13" fillId="9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/>
    </xf>
    <xf numFmtId="169" fontId="13" fillId="4" borderId="1" xfId="0" applyNumberFormat="1" applyFont="1" applyFill="1" applyBorder="1" applyAlignment="1">
      <alignment vertical="center" wrapText="1"/>
    </xf>
    <xf numFmtId="169" fontId="13" fillId="4" borderId="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 indent="1"/>
    </xf>
    <xf numFmtId="0" fontId="20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left" vertical="center" indent="1"/>
    </xf>
    <xf numFmtId="0" fontId="16" fillId="4" borderId="1" xfId="0" applyFont="1" applyFill="1" applyBorder="1" applyAlignment="1">
      <alignment horizontal="center" vertical="center" wrapText="1"/>
    </xf>
    <xf numFmtId="17" fontId="16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indent="1"/>
    </xf>
    <xf numFmtId="3" fontId="16" fillId="4" borderId="1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22" fillId="0" borderId="0" xfId="0" applyFont="1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indent="1"/>
    </xf>
    <xf numFmtId="3" fontId="7" fillId="9" borderId="1" xfId="0" applyNumberFormat="1" applyFont="1" applyFill="1" applyBorder="1" applyAlignment="1">
      <alignment vertical="center" wrapText="1"/>
    </xf>
    <xf numFmtId="3" fontId="16" fillId="9" borderId="1" xfId="0" applyNumberFormat="1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 indent="1"/>
    </xf>
    <xf numFmtId="3" fontId="7" fillId="7" borderId="1" xfId="0" applyNumberFormat="1" applyFont="1" applyFill="1" applyBorder="1" applyAlignment="1">
      <alignment vertical="center" wrapText="1"/>
    </xf>
    <xf numFmtId="3" fontId="16" fillId="7" borderId="1" xfId="0" applyNumberFormat="1" applyFont="1" applyFill="1" applyBorder="1" applyAlignment="1">
      <alignment vertical="center" wrapText="1"/>
    </xf>
    <xf numFmtId="0" fontId="16" fillId="14" borderId="1" xfId="0" applyFont="1" applyFill="1" applyBorder="1" applyAlignment="1">
      <alignment horizontal="left" vertical="center" indent="1"/>
    </xf>
    <xf numFmtId="3" fontId="7" fillId="14" borderId="1" xfId="0" applyNumberFormat="1" applyFont="1" applyFill="1" applyBorder="1" applyAlignment="1">
      <alignment vertical="center" wrapText="1"/>
    </xf>
    <xf numFmtId="3" fontId="16" fillId="14" borderId="1" xfId="0" applyNumberFormat="1" applyFont="1" applyFill="1" applyBorder="1" applyAlignment="1">
      <alignment vertical="center" wrapText="1"/>
    </xf>
    <xf numFmtId="169" fontId="14" fillId="0" borderId="0" xfId="0" applyNumberFormat="1" applyFont="1" applyAlignment="1">
      <alignment vertical="center" wrapText="1"/>
    </xf>
    <xf numFmtId="3" fontId="14" fillId="10" borderId="1" xfId="0" applyNumberFormat="1" applyFont="1" applyFill="1" applyBorder="1" applyAlignment="1">
      <alignment vertical="center" wrapText="1"/>
    </xf>
    <xf numFmtId="3" fontId="14" fillId="6" borderId="1" xfId="0" applyNumberFormat="1" applyFont="1" applyFill="1" applyBorder="1" applyAlignment="1">
      <alignment vertical="center" wrapText="1"/>
    </xf>
    <xf numFmtId="3" fontId="14" fillId="13" borderId="1" xfId="0" applyNumberFormat="1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vertical="center" wrapText="1"/>
    </xf>
    <xf numFmtId="3" fontId="16" fillId="3" borderId="1" xfId="0" applyNumberFormat="1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69" fontId="3" fillId="0" borderId="0" xfId="1" applyNumberForma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3" fillId="11" borderId="1" xfId="0" applyNumberFormat="1" applyFont="1" applyFill="1" applyBorder="1" applyAlignment="1">
      <alignment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left" vertical="center" wrapText="1"/>
    </xf>
    <xf numFmtId="17" fontId="4" fillId="6" borderId="1" xfId="1" applyNumberFormat="1" applyFont="1" applyFill="1" applyBorder="1" applyAlignment="1">
      <alignment horizontal="center" vertical="center" wrapText="1"/>
    </xf>
    <xf numFmtId="3" fontId="2" fillId="11" borderId="3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vertical="center" wrapText="1"/>
    </xf>
    <xf numFmtId="1" fontId="1" fillId="16" borderId="1" xfId="0" applyNumberFormat="1" applyFont="1" applyFill="1" applyBorder="1" applyAlignment="1">
      <alignment horizontal="center" vertical="center" wrapText="1"/>
    </xf>
    <xf numFmtId="3" fontId="1" fillId="16" borderId="1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 wrapText="1"/>
    </xf>
    <xf numFmtId="49" fontId="1" fillId="16" borderId="1" xfId="0" applyNumberFormat="1" applyFont="1" applyFill="1" applyBorder="1" applyAlignment="1">
      <alignment horizontal="center" vertical="center" wrapText="1"/>
    </xf>
    <xf numFmtId="3" fontId="14" fillId="10" borderId="2" xfId="0" applyNumberFormat="1" applyFont="1" applyFill="1" applyBorder="1" applyAlignment="1">
      <alignment vertical="center" wrapText="1"/>
    </xf>
    <xf numFmtId="3" fontId="14" fillId="6" borderId="2" xfId="0" applyNumberFormat="1" applyFont="1" applyFill="1" applyBorder="1" applyAlignment="1">
      <alignment vertical="center" wrapText="1"/>
    </xf>
    <xf numFmtId="3" fontId="14" fillId="17" borderId="2" xfId="0" applyNumberFormat="1" applyFont="1" applyFill="1" applyBorder="1" applyAlignment="1">
      <alignment vertical="center" wrapText="1"/>
    </xf>
    <xf numFmtId="3" fontId="1" fillId="18" borderId="0" xfId="0" applyNumberFormat="1" applyFont="1" applyFill="1" applyAlignment="1">
      <alignment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3" fillId="8" borderId="5" xfId="0" quotePrefix="1" applyFont="1" applyFill="1" applyBorder="1" applyAlignment="1">
      <alignment horizontal="center" vertical="center" wrapText="1"/>
    </xf>
    <xf numFmtId="49" fontId="13" fillId="8" borderId="5" xfId="0" applyNumberFormat="1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49" fontId="13" fillId="8" borderId="8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vertical="center" wrapText="1"/>
    </xf>
    <xf numFmtId="3" fontId="1" fillId="6" borderId="3" xfId="0" applyNumberFormat="1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49" fontId="13" fillId="9" borderId="5" xfId="0" applyNumberFormat="1" applyFont="1" applyFill="1" applyBorder="1" applyAlignment="1">
      <alignment horizontal="center" vertical="center" wrapText="1"/>
    </xf>
    <xf numFmtId="17" fontId="27" fillId="4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16" borderId="0" xfId="0" applyNumberFormat="1" applyFont="1" applyFill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3" fontId="1" fillId="16" borderId="1" xfId="0" applyNumberFormat="1" applyFont="1" applyFill="1" applyBorder="1" applyAlignment="1">
      <alignment horizontal="right" vertical="center" wrapText="1"/>
    </xf>
    <xf numFmtId="3" fontId="1" fillId="16" borderId="9" xfId="0" applyNumberFormat="1" applyFont="1" applyFill="1" applyBorder="1" applyAlignment="1">
      <alignment horizontal="right" vertical="center" wrapText="1"/>
    </xf>
    <xf numFmtId="9" fontId="14" fillId="0" borderId="0" xfId="0" applyNumberFormat="1" applyFont="1" applyAlignment="1">
      <alignment vertical="center" wrapText="1"/>
    </xf>
    <xf numFmtId="3" fontId="14" fillId="16" borderId="1" xfId="0" applyNumberFormat="1" applyFont="1" applyFill="1" applyBorder="1" applyAlignment="1">
      <alignment vertical="center" wrapText="1"/>
    </xf>
    <xf numFmtId="3" fontId="1" fillId="16" borderId="1" xfId="0" applyNumberFormat="1" applyFont="1" applyFill="1" applyBorder="1" applyAlignment="1">
      <alignment vertical="center" wrapText="1"/>
    </xf>
    <xf numFmtId="3" fontId="15" fillId="0" borderId="5" xfId="0" quotePrefix="1" applyNumberFormat="1" applyFont="1" applyBorder="1" applyAlignment="1">
      <alignment horizontal="right" vertical="center" wrapText="1"/>
    </xf>
    <xf numFmtId="49" fontId="14" fillId="0" borderId="0" xfId="0" applyNumberFormat="1" applyFont="1" applyAlignment="1">
      <alignment horizontal="right" vertical="center" wrapText="1"/>
    </xf>
    <xf numFmtId="176" fontId="2" fillId="11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3" fontId="1" fillId="6" borderId="9" xfId="0" applyNumberFormat="1" applyFont="1" applyFill="1" applyBorder="1" applyAlignment="1">
      <alignment vertical="center" wrapText="1"/>
    </xf>
    <xf numFmtId="3" fontId="14" fillId="0" borderId="1" xfId="59" applyNumberFormat="1" applyFont="1" applyBorder="1" applyAlignment="1">
      <alignment vertical="center" wrapText="1"/>
    </xf>
    <xf numFmtId="175" fontId="2" fillId="11" borderId="1" xfId="0" applyNumberFormat="1" applyFont="1" applyFill="1" applyBorder="1" applyAlignment="1">
      <alignment horizontal="center" vertical="center" wrapText="1"/>
    </xf>
    <xf numFmtId="175" fontId="1" fillId="0" borderId="0" xfId="0" applyNumberFormat="1" applyFont="1" applyAlignment="1">
      <alignment vertical="center" wrapText="1"/>
    </xf>
    <xf numFmtId="169" fontId="15" fillId="10" borderId="6" xfId="0" applyNumberFormat="1" applyFont="1" applyFill="1" applyBorder="1" applyAlignment="1">
      <alignment vertical="center" wrapText="1"/>
    </xf>
    <xf numFmtId="169" fontId="15" fillId="10" borderId="5" xfId="0" applyNumberFormat="1" applyFont="1" applyFill="1" applyBorder="1" applyAlignment="1">
      <alignment horizontal="center" vertical="center" wrapText="1"/>
    </xf>
    <xf numFmtId="169" fontId="13" fillId="9" borderId="5" xfId="0" applyNumberFormat="1" applyFont="1" applyFill="1" applyBorder="1" applyAlignment="1">
      <alignment horizontal="right" vertical="center" wrapText="1"/>
    </xf>
    <xf numFmtId="169" fontId="13" fillId="10" borderId="6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wrapText="1"/>
    </xf>
    <xf numFmtId="0" fontId="48" fillId="16" borderId="1" xfId="0" applyFont="1" applyFill="1" applyBorder="1" applyAlignment="1">
      <alignment vertical="center" wrapText="1"/>
    </xf>
    <xf numFmtId="0" fontId="48" fillId="16" borderId="1" xfId="0" applyFont="1" applyFill="1" applyBorder="1" applyAlignment="1">
      <alignment vertical="center"/>
    </xf>
    <xf numFmtId="0" fontId="51" fillId="16" borderId="1" xfId="0" applyFont="1" applyFill="1" applyBorder="1" applyAlignment="1">
      <alignment wrapText="1"/>
    </xf>
    <xf numFmtId="0" fontId="49" fillId="16" borderId="1" xfId="0" applyFont="1" applyFill="1" applyBorder="1" applyAlignment="1">
      <alignment wrapText="1"/>
    </xf>
    <xf numFmtId="0" fontId="48" fillId="16" borderId="0" xfId="0" applyFont="1" applyFill="1" applyAlignment="1">
      <alignment vertical="center"/>
    </xf>
    <xf numFmtId="0" fontId="48" fillId="16" borderId="1" xfId="0" applyFont="1" applyFill="1" applyBorder="1" applyAlignment="1">
      <alignment wrapText="1"/>
    </xf>
    <xf numFmtId="0" fontId="51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 wrapText="1"/>
    </xf>
    <xf numFmtId="0" fontId="50" fillId="16" borderId="9" xfId="0" applyFont="1" applyFill="1" applyBorder="1" applyAlignment="1">
      <alignment horizontal="left" vertical="center" wrapText="1" indent="1"/>
    </xf>
    <xf numFmtId="0" fontId="48" fillId="16" borderId="0" xfId="0" applyFont="1" applyFill="1" applyAlignment="1">
      <alignment vertical="center" wrapText="1"/>
    </xf>
    <xf numFmtId="0" fontId="48" fillId="16" borderId="9" xfId="0" applyFont="1" applyFill="1" applyBorder="1" applyAlignment="1">
      <alignment vertical="center"/>
    </xf>
    <xf numFmtId="0" fontId="48" fillId="16" borderId="23" xfId="0" applyFont="1" applyFill="1" applyBorder="1" applyAlignment="1">
      <alignment vertical="center"/>
    </xf>
    <xf numFmtId="0" fontId="51" fillId="16" borderId="19" xfId="0" applyFont="1" applyFill="1" applyBorder="1" applyAlignment="1">
      <alignment wrapText="1"/>
    </xf>
    <xf numFmtId="0" fontId="0" fillId="16" borderId="0" xfId="0" applyFill="1"/>
    <xf numFmtId="41" fontId="0" fillId="16" borderId="0" xfId="129" applyFont="1" applyFill="1"/>
    <xf numFmtId="41" fontId="50" fillId="16" borderId="1" xfId="129" applyFont="1" applyFill="1" applyBorder="1" applyAlignment="1">
      <alignment vertical="center"/>
    </xf>
    <xf numFmtId="0" fontId="50" fillId="16" borderId="1" xfId="0" applyFont="1" applyFill="1" applyBorder="1" applyAlignment="1">
      <alignment vertical="center" wrapText="1"/>
    </xf>
    <xf numFmtId="49" fontId="49" fillId="16" borderId="9" xfId="0" applyNumberFormat="1" applyFont="1" applyFill="1" applyBorder="1" applyAlignment="1">
      <alignment vertical="center" wrapText="1"/>
    </xf>
    <xf numFmtId="0" fontId="49" fillId="16" borderId="9" xfId="0" applyFont="1" applyFill="1" applyBorder="1" applyAlignment="1">
      <alignment vertical="center" wrapText="1"/>
    </xf>
    <xf numFmtId="0" fontId="50" fillId="16" borderId="1" xfId="0" applyFont="1" applyFill="1" applyBorder="1" applyAlignment="1">
      <alignment wrapText="1"/>
    </xf>
    <xf numFmtId="0" fontId="49" fillId="16" borderId="1" xfId="0" applyFont="1" applyFill="1" applyBorder="1"/>
    <xf numFmtId="0" fontId="49" fillId="16" borderId="9" xfId="0" applyFont="1" applyFill="1" applyBorder="1" applyAlignment="1">
      <alignment horizontal="left" vertical="center" wrapText="1" indent="1"/>
    </xf>
    <xf numFmtId="0" fontId="49" fillId="16" borderId="3" xfId="0" applyFont="1" applyFill="1" applyBorder="1" applyAlignment="1">
      <alignment vertical="center" wrapText="1"/>
    </xf>
    <xf numFmtId="0" fontId="52" fillId="16" borderId="1" xfId="0" applyFont="1" applyFill="1" applyBorder="1" applyAlignment="1">
      <alignment wrapText="1"/>
    </xf>
    <xf numFmtId="0" fontId="49" fillId="16" borderId="19" xfId="0" applyFont="1" applyFill="1" applyBorder="1" applyAlignment="1">
      <alignment wrapText="1"/>
    </xf>
    <xf numFmtId="0" fontId="49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/>
    </xf>
    <xf numFmtId="0" fontId="50" fillId="16" borderId="1" xfId="0" applyFont="1" applyFill="1" applyBorder="1" applyAlignment="1">
      <alignment vertical="center"/>
    </xf>
    <xf numFmtId="0" fontId="53" fillId="16" borderId="1" xfId="46" applyFont="1" applyFill="1" applyBorder="1" applyAlignment="1">
      <alignment wrapText="1"/>
    </xf>
    <xf numFmtId="0" fontId="53" fillId="16" borderId="19" xfId="46" applyFont="1" applyFill="1" applyBorder="1" applyAlignment="1">
      <alignment wrapText="1"/>
    </xf>
    <xf numFmtId="3" fontId="54" fillId="16" borderId="1" xfId="46" applyNumberFormat="1" applyFont="1" applyFill="1" applyBorder="1" applyAlignment="1">
      <alignment wrapText="1"/>
    </xf>
    <xf numFmtId="0" fontId="52" fillId="16" borderId="1" xfId="0" applyFont="1" applyFill="1" applyBorder="1"/>
    <xf numFmtId="0" fontId="55" fillId="50" borderId="1" xfId="0" applyFont="1" applyFill="1" applyBorder="1" applyAlignment="1">
      <alignment horizontal="center" vertical="center" wrapText="1"/>
    </xf>
    <xf numFmtId="3" fontId="55" fillId="50" borderId="1" xfId="0" applyNumberFormat="1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49" fontId="25" fillId="16" borderId="1" xfId="0" applyNumberFormat="1" applyFont="1" applyFill="1" applyBorder="1" applyAlignment="1">
      <alignment horizontal="center" vertical="center" wrapText="1"/>
    </xf>
    <xf numFmtId="49" fontId="25" fillId="16" borderId="1" xfId="0" quotePrefix="1" applyNumberFormat="1" applyFont="1" applyFill="1" applyBorder="1" applyAlignment="1">
      <alignment horizontal="center" vertical="center" wrapText="1"/>
    </xf>
    <xf numFmtId="3" fontId="25" fillId="16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/>
    </xf>
    <xf numFmtId="1" fontId="25" fillId="16" borderId="1" xfId="0" applyNumberFormat="1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justify" vertical="center" wrapText="1"/>
    </xf>
    <xf numFmtId="0" fontId="25" fillId="16" borderId="8" xfId="0" applyFont="1" applyFill="1" applyBorder="1" applyAlignment="1">
      <alignment horizontal="center" vertical="center" wrapText="1"/>
    </xf>
    <xf numFmtId="9" fontId="15" fillId="51" borderId="1" xfId="0" applyNumberFormat="1" applyFont="1" applyFill="1" applyBorder="1" applyAlignment="1">
      <alignment horizontal="right" vertical="center" wrapText="1"/>
    </xf>
    <xf numFmtId="3" fontId="1" fillId="5" borderId="0" xfId="0" applyNumberFormat="1" applyFont="1" applyFill="1" applyAlignment="1">
      <alignment vertical="center" wrapText="1"/>
    </xf>
    <xf numFmtId="3" fontId="1" fillId="16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9" fontId="13" fillId="9" borderId="1" xfId="128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9" fontId="47" fillId="12" borderId="1" xfId="0" applyNumberFormat="1" applyFont="1" applyFill="1" applyBorder="1" applyAlignment="1">
      <alignment horizontal="right" vertical="center" wrapText="1"/>
    </xf>
    <xf numFmtId="9" fontId="46" fillId="9" borderId="1" xfId="128" applyFont="1" applyFill="1" applyBorder="1" applyAlignment="1">
      <alignment horizontal="right" vertical="center" wrapText="1"/>
    </xf>
    <xf numFmtId="41" fontId="15" fillId="0" borderId="1" xfId="129" applyFont="1" applyFill="1" applyBorder="1" applyAlignment="1">
      <alignment horizontal="center" vertical="center" wrapText="1"/>
    </xf>
    <xf numFmtId="41" fontId="15" fillId="0" borderId="1" xfId="129" applyFont="1" applyBorder="1" applyAlignment="1">
      <alignment horizontal="center" vertical="center" wrapText="1"/>
    </xf>
    <xf numFmtId="3" fontId="1" fillId="0" borderId="1" xfId="0" quotePrefix="1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wrapText="1"/>
    </xf>
    <xf numFmtId="3" fontId="49" fillId="6" borderId="1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vertical="center" wrapText="1"/>
    </xf>
    <xf numFmtId="175" fontId="14" fillId="0" borderId="1" xfId="59" applyNumberFormat="1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16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3" fontId="1" fillId="16" borderId="9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3" fontId="50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vertical="center" wrapText="1"/>
    </xf>
    <xf numFmtId="17" fontId="56" fillId="11" borderId="1" xfId="1" applyNumberFormat="1" applyFont="1" applyFill="1" applyBorder="1" applyAlignment="1">
      <alignment horizontal="center" vertical="center" wrapText="1"/>
    </xf>
    <xf numFmtId="3" fontId="1" fillId="6" borderId="8" xfId="0" applyNumberFormat="1" applyFont="1" applyFill="1" applyBorder="1" applyAlignment="1">
      <alignment vertical="center" wrapText="1"/>
    </xf>
    <xf numFmtId="178" fontId="13" fillId="9" borderId="6" xfId="0" applyNumberFormat="1" applyFont="1" applyFill="1" applyBorder="1" applyAlignment="1">
      <alignment vertical="center" wrapText="1"/>
    </xf>
    <xf numFmtId="178" fontId="15" fillId="10" borderId="6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9" fontId="15" fillId="16" borderId="0" xfId="0" applyNumberFormat="1" applyFont="1" applyFill="1" applyAlignment="1">
      <alignment vertical="center" wrapText="1"/>
    </xf>
    <xf numFmtId="0" fontId="14" fillId="16" borderId="0" xfId="0" applyFont="1" applyFill="1" applyAlignment="1">
      <alignment vertical="center" wrapText="1"/>
    </xf>
    <xf numFmtId="0" fontId="13" fillId="16" borderId="0" xfId="0" applyFont="1" applyFill="1" applyAlignment="1">
      <alignment horizontal="right" vertical="center"/>
    </xf>
    <xf numFmtId="0" fontId="15" fillId="16" borderId="0" xfId="0" applyFont="1" applyFill="1" applyAlignment="1">
      <alignment horizontal="right" vertical="center"/>
    </xf>
    <xf numFmtId="169" fontId="15" fillId="16" borderId="0" xfId="0" applyNumberFormat="1" applyFont="1" applyFill="1" applyAlignment="1">
      <alignment horizontal="right" vertical="center"/>
    </xf>
    <xf numFmtId="0" fontId="3" fillId="16" borderId="0" xfId="1" applyFill="1" applyAlignment="1">
      <alignment horizontal="right" vertical="center"/>
    </xf>
    <xf numFmtId="1" fontId="2" fillId="0" borderId="0" xfId="0" applyNumberFormat="1" applyFont="1" applyAlignment="1">
      <alignment horizontal="center" vertical="center" wrapText="1"/>
    </xf>
    <xf numFmtId="3" fontId="1" fillId="16" borderId="0" xfId="0" applyNumberFormat="1" applyFont="1" applyFill="1" applyAlignment="1">
      <alignment horizontal="center" vertical="center" wrapText="1"/>
    </xf>
    <xf numFmtId="3" fontId="1" fillId="16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3" fontId="57" fillId="15" borderId="1" xfId="0" applyNumberFormat="1" applyFont="1" applyFill="1" applyBorder="1" applyAlignment="1">
      <alignment vertical="center" wrapText="1"/>
    </xf>
    <xf numFmtId="3" fontId="57" fillId="6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77" fontId="58" fillId="16" borderId="1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52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16" borderId="3" xfId="0" applyNumberFormat="1" applyFont="1" applyFill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175" fontId="1" fillId="0" borderId="0" xfId="0" applyNumberFormat="1" applyFont="1" applyAlignment="1">
      <alignment horizontal="right" vertical="center" wrapText="1"/>
    </xf>
    <xf numFmtId="175" fontId="1" fillId="6" borderId="1" xfId="0" applyNumberFormat="1" applyFont="1" applyFill="1" applyBorder="1" applyAlignment="1">
      <alignment vertical="center" wrapText="1"/>
    </xf>
    <xf numFmtId="0" fontId="59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top" wrapText="1"/>
    </xf>
    <xf numFmtId="0" fontId="18" fillId="9" borderId="6" xfId="0" applyFont="1" applyFill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79" fontId="1" fillId="6" borderId="1" xfId="0" applyNumberFormat="1" applyFont="1" applyFill="1" applyBorder="1" applyAlignment="1">
      <alignment vertical="center" wrapText="1"/>
    </xf>
    <xf numFmtId="175" fontId="2" fillId="5" borderId="1" xfId="0" applyNumberFormat="1" applyFont="1" applyFill="1" applyBorder="1" applyAlignment="1">
      <alignment horizontal="center" vertical="center" wrapText="1"/>
    </xf>
    <xf numFmtId="175" fontId="14" fillId="0" borderId="1" xfId="0" applyNumberFormat="1" applyFont="1" applyBorder="1" applyAlignment="1">
      <alignment vertical="center" wrapText="1"/>
    </xf>
    <xf numFmtId="175" fontId="13" fillId="6" borderId="1" xfId="0" applyNumberFormat="1" applyFont="1" applyFill="1" applyBorder="1" applyAlignment="1">
      <alignment horizontal="right" vertical="center" wrapText="1"/>
    </xf>
    <xf numFmtId="175" fontId="14" fillId="0" borderId="0" xfId="0" applyNumberFormat="1" applyFont="1" applyAlignment="1">
      <alignment vertical="center" wrapText="1"/>
    </xf>
    <xf numFmtId="0" fontId="60" fillId="53" borderId="1" xfId="0" applyFont="1" applyFill="1" applyBorder="1" applyAlignment="1">
      <alignment horizontal="left" vertical="center" indent="1"/>
    </xf>
    <xf numFmtId="0" fontId="61" fillId="53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left" vertical="center" indent="1"/>
    </xf>
    <xf numFmtId="3" fontId="63" fillId="54" borderId="1" xfId="0" applyNumberFormat="1" applyFont="1" applyFill="1" applyBorder="1" applyAlignment="1">
      <alignment vertical="center" wrapText="1"/>
    </xf>
    <xf numFmtId="0" fontId="63" fillId="54" borderId="1" xfId="0" applyFont="1" applyFill="1" applyBorder="1" applyAlignment="1">
      <alignment vertical="center" wrapText="1"/>
    </xf>
    <xf numFmtId="0" fontId="60" fillId="55" borderId="1" xfId="0" applyFont="1" applyFill="1" applyBorder="1" applyAlignment="1">
      <alignment horizontal="left" vertical="center" indent="1"/>
    </xf>
    <xf numFmtId="3" fontId="63" fillId="55" borderId="1" xfId="0" applyNumberFormat="1" applyFont="1" applyFill="1" applyBorder="1" applyAlignment="1">
      <alignment vertical="center" wrapText="1"/>
    </xf>
    <xf numFmtId="3" fontId="63" fillId="56" borderId="1" xfId="0" applyNumberFormat="1" applyFont="1" applyFill="1" applyBorder="1" applyAlignment="1">
      <alignment vertical="center" wrapText="1"/>
    </xf>
    <xf numFmtId="0" fontId="63" fillId="56" borderId="1" xfId="0" applyFont="1" applyFill="1" applyBorder="1" applyAlignment="1">
      <alignment vertical="center" wrapText="1"/>
    </xf>
    <xf numFmtId="0" fontId="60" fillId="57" borderId="1" xfId="0" applyFont="1" applyFill="1" applyBorder="1" applyAlignment="1">
      <alignment horizontal="left" vertical="center" indent="1"/>
    </xf>
    <xf numFmtId="3" fontId="63" fillId="57" borderId="1" xfId="0" applyNumberFormat="1" applyFont="1" applyFill="1" applyBorder="1" applyAlignment="1">
      <alignment vertical="center" wrapText="1"/>
    </xf>
    <xf numFmtId="3" fontId="63" fillId="53" borderId="1" xfId="0" applyNumberFormat="1" applyFont="1" applyFill="1" applyBorder="1" applyAlignment="1">
      <alignment vertical="center" wrapText="1"/>
    </xf>
    <xf numFmtId="0" fontId="63" fillId="53" borderId="1" xfId="0" applyFont="1" applyFill="1" applyBorder="1" applyAlignment="1">
      <alignment vertical="center" wrapText="1"/>
    </xf>
    <xf numFmtId="0" fontId="60" fillId="58" borderId="1" xfId="0" applyFont="1" applyFill="1" applyBorder="1" applyAlignment="1">
      <alignment horizontal="left" vertical="center" indent="1"/>
    </xf>
    <xf numFmtId="3" fontId="63" fillId="58" borderId="1" xfId="0" applyNumberFormat="1" applyFont="1" applyFill="1" applyBorder="1" applyAlignment="1">
      <alignment vertical="center" wrapText="1"/>
    </xf>
    <xf numFmtId="0" fontId="60" fillId="59" borderId="1" xfId="0" applyFont="1" applyFill="1" applyBorder="1" applyAlignment="1">
      <alignment horizontal="left" vertical="center" indent="1"/>
    </xf>
    <xf numFmtId="3" fontId="63" fillId="59" borderId="1" xfId="0" applyNumberFormat="1" applyFont="1" applyFill="1" applyBorder="1" applyAlignment="1">
      <alignment vertical="center" wrapText="1"/>
    </xf>
    <xf numFmtId="0" fontId="60" fillId="53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178" fontId="13" fillId="8" borderId="1" xfId="0" applyNumberFormat="1" applyFont="1" applyFill="1" applyBorder="1" applyAlignment="1">
      <alignment vertical="center" wrapText="1"/>
    </xf>
    <xf numFmtId="178" fontId="13" fillId="9" borderId="2" xfId="0" applyNumberFormat="1" applyFont="1" applyFill="1" applyBorder="1" applyAlignment="1">
      <alignment vertical="center" wrapText="1"/>
    </xf>
    <xf numFmtId="0" fontId="14" fillId="16" borderId="0" xfId="0" applyFont="1" applyFill="1" applyAlignment="1">
      <alignment horizontal="righ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3" fillId="9" borderId="1" xfId="0" applyFont="1" applyFill="1" applyBorder="1" applyAlignment="1">
      <alignment vertical="center"/>
    </xf>
    <xf numFmtId="17" fontId="16" fillId="0" borderId="19" xfId="0" applyNumberFormat="1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4" fillId="16" borderId="0" xfId="0" applyFont="1" applyFill="1" applyAlignment="1">
      <alignment horizontal="right" vertical="center" wrapText="1"/>
    </xf>
    <xf numFmtId="0" fontId="14" fillId="16" borderId="21" xfId="0" applyFont="1" applyFill="1" applyBorder="1" applyAlignment="1">
      <alignment horizontal="right" vertical="center" wrapText="1"/>
    </xf>
    <xf numFmtId="0" fontId="15" fillId="16" borderId="0" xfId="0" applyFont="1" applyFill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  <xf numFmtId="0" fontId="13" fillId="9" borderId="1" xfId="0" applyFont="1" applyFill="1" applyBorder="1" applyAlignment="1">
      <alignment horizontal="left" vertical="center"/>
    </xf>
  </cellXfs>
  <cellStyles count="130">
    <cellStyle name="20% - Énfasis1" xfId="76" builtinId="30" customBuiltin="1"/>
    <cellStyle name="20% - Énfasis2" xfId="79" builtinId="34" customBuiltin="1"/>
    <cellStyle name="20% - Énfasis3" xfId="82" builtinId="38" customBuiltin="1"/>
    <cellStyle name="20% - Énfasis4" xfId="85" builtinId="42" customBuiltin="1"/>
    <cellStyle name="20% - Énfasis5" xfId="88" builtinId="46" customBuiltin="1"/>
    <cellStyle name="20% - Énfasis6" xfId="91" builtinId="50" customBuiltin="1"/>
    <cellStyle name="40% - Énfasis1" xfId="77" builtinId="31" customBuiltin="1"/>
    <cellStyle name="40% - Énfasis2" xfId="80" builtinId="35" customBuiltin="1"/>
    <cellStyle name="40% - Énfasis3" xfId="83" builtinId="39" customBuiltin="1"/>
    <cellStyle name="40% - Énfasis4" xfId="86" builtinId="43" customBuiltin="1"/>
    <cellStyle name="40% - Énfasis5" xfId="89" builtinId="47" customBuiltin="1"/>
    <cellStyle name="40% - Énfasis6" xfId="92" builtinId="51" customBuiltin="1"/>
    <cellStyle name="60% - Énfasis1 2" xfId="94" xr:uid="{00000000-0005-0000-0000-00000C000000}"/>
    <cellStyle name="60% - Énfasis1 3" xfId="93" xr:uid="{00000000-0005-0000-0000-00000D000000}"/>
    <cellStyle name="60% - Énfasis2 2" xfId="96" xr:uid="{00000000-0005-0000-0000-00000E000000}"/>
    <cellStyle name="60% - Énfasis2 3" xfId="95" xr:uid="{00000000-0005-0000-0000-00000F000000}"/>
    <cellStyle name="60% - Énfasis3 2" xfId="98" xr:uid="{00000000-0005-0000-0000-000010000000}"/>
    <cellStyle name="60% - Énfasis3 3" xfId="97" xr:uid="{00000000-0005-0000-0000-000011000000}"/>
    <cellStyle name="60% - Énfasis4 2" xfId="100" xr:uid="{00000000-0005-0000-0000-000012000000}"/>
    <cellStyle name="60% - Énfasis4 3" xfId="99" xr:uid="{00000000-0005-0000-0000-000013000000}"/>
    <cellStyle name="60% - Énfasis5 2" xfId="102" xr:uid="{00000000-0005-0000-0000-000014000000}"/>
    <cellStyle name="60% - Énfasis5 3" xfId="101" xr:uid="{00000000-0005-0000-0000-000015000000}"/>
    <cellStyle name="60% - Énfasis6 2" xfId="104" xr:uid="{00000000-0005-0000-0000-000016000000}"/>
    <cellStyle name="60% - Énfasis6 3" xfId="103" xr:uid="{00000000-0005-0000-0000-000017000000}"/>
    <cellStyle name="Bueno" xfId="64" builtinId="26" customBuiltin="1"/>
    <cellStyle name="Cálculo" xfId="68" builtinId="22" customBuiltin="1"/>
    <cellStyle name="Celda de comprobación" xfId="70" builtinId="23" customBuiltin="1"/>
    <cellStyle name="Celda vinculada" xfId="69" builtinId="24" customBuiltin="1"/>
    <cellStyle name="Encabezado 1" xfId="60" builtinId="16" customBuiltin="1"/>
    <cellStyle name="Encabezado 4" xfId="63" builtinId="19" customBuiltin="1"/>
    <cellStyle name="Énfasis1" xfId="75" builtinId="29" customBuiltin="1"/>
    <cellStyle name="Énfasis2" xfId="78" builtinId="33" customBuiltin="1"/>
    <cellStyle name="Énfasis3" xfId="81" builtinId="37" customBuiltin="1"/>
    <cellStyle name="Énfasis4" xfId="84" builtinId="41" customBuiltin="1"/>
    <cellStyle name="Énfasis5" xfId="87" builtinId="45" customBuiltin="1"/>
    <cellStyle name="Énfasis6" xfId="90" builtinId="49" customBuiltin="1"/>
    <cellStyle name="Entrada" xfId="66" builtinId="20" customBuiltin="1"/>
    <cellStyle name="Euro" xfId="3" xr:uid="{00000000-0005-0000-0000-000025000000}"/>
    <cellStyle name="Euro 2" xfId="105" xr:uid="{00000000-0005-0000-0000-000026000000}"/>
    <cellStyle name="Incorrecto" xfId="65" builtinId="27" customBuiltin="1"/>
    <cellStyle name="Millares" xfId="59" builtinId="3"/>
    <cellStyle name="Millares [0]" xfId="129" builtinId="6"/>
    <cellStyle name="Millares [0] 2" xfId="4" xr:uid="{00000000-0005-0000-0000-000029000000}"/>
    <cellStyle name="Millares [0] 3" xfId="58" xr:uid="{00000000-0005-0000-0000-00002A000000}"/>
    <cellStyle name="Millares 2" xfId="5" xr:uid="{00000000-0005-0000-0000-00002B000000}"/>
    <cellStyle name="Millares 2 2" xfId="6" xr:uid="{00000000-0005-0000-0000-00002C000000}"/>
    <cellStyle name="Millares 2 3" xfId="7" xr:uid="{00000000-0005-0000-0000-00002D000000}"/>
    <cellStyle name="Millares 2 4" xfId="107" xr:uid="{00000000-0005-0000-0000-00002E000000}"/>
    <cellStyle name="Millares 3" xfId="8" xr:uid="{00000000-0005-0000-0000-00002F000000}"/>
    <cellStyle name="Millares 3 2" xfId="109" xr:uid="{00000000-0005-0000-0000-000030000000}"/>
    <cellStyle name="Millares 3 2 2" xfId="110" xr:uid="{00000000-0005-0000-0000-000031000000}"/>
    <cellStyle name="Millares 3 3" xfId="111" xr:uid="{00000000-0005-0000-0000-000032000000}"/>
    <cellStyle name="Millares 3 4" xfId="112" xr:uid="{00000000-0005-0000-0000-000033000000}"/>
    <cellStyle name="Millares 3 5" xfId="113" xr:uid="{00000000-0005-0000-0000-000034000000}"/>
    <cellStyle name="Millares 3 6" xfId="108" xr:uid="{00000000-0005-0000-0000-000035000000}"/>
    <cellStyle name="Millares 4" xfId="9" xr:uid="{00000000-0005-0000-0000-000036000000}"/>
    <cellStyle name="Millares 4 2" xfId="114" xr:uid="{00000000-0005-0000-0000-000037000000}"/>
    <cellStyle name="Millares 5" xfId="106" xr:uid="{00000000-0005-0000-0000-000038000000}"/>
    <cellStyle name="Moneda 2" xfId="10" xr:uid="{00000000-0005-0000-0000-000039000000}"/>
    <cellStyle name="Moneda 3" xfId="11" xr:uid="{00000000-0005-0000-0000-00003A000000}"/>
    <cellStyle name="Neutral 2" xfId="116" xr:uid="{00000000-0005-0000-0000-00003B000000}"/>
    <cellStyle name="Neutral 3" xfId="115" xr:uid="{00000000-0005-0000-0000-00003C000000}"/>
    <cellStyle name="Normal" xfId="0" builtinId="0"/>
    <cellStyle name="Normal 10" xfId="1" xr:uid="{00000000-0005-0000-0000-00003E000000}"/>
    <cellStyle name="Normal 11" xfId="12" xr:uid="{00000000-0005-0000-0000-00003F000000}"/>
    <cellStyle name="Normal 12" xfId="13" xr:uid="{00000000-0005-0000-0000-000040000000}"/>
    <cellStyle name="Normal 13" xfId="14" xr:uid="{00000000-0005-0000-0000-000041000000}"/>
    <cellStyle name="Normal 14" xfId="15" xr:uid="{00000000-0005-0000-0000-000042000000}"/>
    <cellStyle name="Normal 15" xfId="16" xr:uid="{00000000-0005-0000-0000-000043000000}"/>
    <cellStyle name="Normal 16" xfId="17" xr:uid="{00000000-0005-0000-0000-000044000000}"/>
    <cellStyle name="Normal 17" xfId="18" xr:uid="{00000000-0005-0000-0000-000045000000}"/>
    <cellStyle name="Normal 18" xfId="19" xr:uid="{00000000-0005-0000-0000-000046000000}"/>
    <cellStyle name="Normal 19" xfId="20" xr:uid="{00000000-0005-0000-0000-000047000000}"/>
    <cellStyle name="Normal 2" xfId="2" xr:uid="{00000000-0005-0000-0000-000048000000}"/>
    <cellStyle name="Normal 2 10" xfId="21" xr:uid="{00000000-0005-0000-0000-000049000000}"/>
    <cellStyle name="Normal 2 2" xfId="22" xr:uid="{00000000-0005-0000-0000-00004A000000}"/>
    <cellStyle name="Normal 2 2 2" xfId="23" xr:uid="{00000000-0005-0000-0000-00004B000000}"/>
    <cellStyle name="Normal 2 2 3" xfId="24" xr:uid="{00000000-0005-0000-0000-00004C000000}"/>
    <cellStyle name="Normal 2 2 4" xfId="117" xr:uid="{00000000-0005-0000-0000-00004D000000}"/>
    <cellStyle name="Normal 2 21" xfId="25" xr:uid="{00000000-0005-0000-0000-00004E000000}"/>
    <cellStyle name="Normal 2 3" xfId="26" xr:uid="{00000000-0005-0000-0000-00004F000000}"/>
    <cellStyle name="Normal 2 30" xfId="27" xr:uid="{00000000-0005-0000-0000-000050000000}"/>
    <cellStyle name="Normal 2 31" xfId="28" xr:uid="{00000000-0005-0000-0000-000051000000}"/>
    <cellStyle name="Normal 20" xfId="29" xr:uid="{00000000-0005-0000-0000-000052000000}"/>
    <cellStyle name="Normal 21" xfId="30" xr:uid="{00000000-0005-0000-0000-000053000000}"/>
    <cellStyle name="Normal 23" xfId="31" xr:uid="{00000000-0005-0000-0000-000054000000}"/>
    <cellStyle name="Normal 24" xfId="32" xr:uid="{00000000-0005-0000-0000-000055000000}"/>
    <cellStyle name="Normal 25" xfId="33" xr:uid="{00000000-0005-0000-0000-000056000000}"/>
    <cellStyle name="Normal 26" xfId="34" xr:uid="{00000000-0005-0000-0000-000057000000}"/>
    <cellStyle name="Normal 27" xfId="35" xr:uid="{00000000-0005-0000-0000-000058000000}"/>
    <cellStyle name="Normal 28" xfId="36" xr:uid="{00000000-0005-0000-0000-000059000000}"/>
    <cellStyle name="Normal 29" xfId="37" xr:uid="{00000000-0005-0000-0000-00005A000000}"/>
    <cellStyle name="Normal 3" xfId="38" xr:uid="{00000000-0005-0000-0000-00005B000000}"/>
    <cellStyle name="Normal 3 2" xfId="39" xr:uid="{00000000-0005-0000-0000-00005C000000}"/>
    <cellStyle name="Normal 3 2 2" xfId="40" xr:uid="{00000000-0005-0000-0000-00005D000000}"/>
    <cellStyle name="Normal 3 2 3" xfId="119" xr:uid="{00000000-0005-0000-0000-00005E000000}"/>
    <cellStyle name="Normal 3 3" xfId="41" xr:uid="{00000000-0005-0000-0000-00005F000000}"/>
    <cellStyle name="Normal 3 3 2" xfId="120" xr:uid="{00000000-0005-0000-0000-000060000000}"/>
    <cellStyle name="Normal 3 4" xfId="121" xr:uid="{00000000-0005-0000-0000-000061000000}"/>
    <cellStyle name="Normal 3 5" xfId="122" xr:uid="{00000000-0005-0000-0000-000062000000}"/>
    <cellStyle name="Normal 3 6" xfId="118" xr:uid="{00000000-0005-0000-0000-000063000000}"/>
    <cellStyle name="Normal 30" xfId="42" xr:uid="{00000000-0005-0000-0000-000064000000}"/>
    <cellStyle name="Normal 4" xfId="43" xr:uid="{00000000-0005-0000-0000-000065000000}"/>
    <cellStyle name="Normal 4 2" xfId="44" xr:uid="{00000000-0005-0000-0000-000066000000}"/>
    <cellStyle name="Normal 4 3" xfId="45" xr:uid="{00000000-0005-0000-0000-000067000000}"/>
    <cellStyle name="Normal 4 4" xfId="123" xr:uid="{00000000-0005-0000-0000-000068000000}"/>
    <cellStyle name="Normal 5" xfId="46" xr:uid="{00000000-0005-0000-0000-000069000000}"/>
    <cellStyle name="Normal 5 2" xfId="47" xr:uid="{00000000-0005-0000-0000-00006A000000}"/>
    <cellStyle name="Normal 5 3" xfId="48" xr:uid="{00000000-0005-0000-0000-00006B000000}"/>
    <cellStyle name="Normal 6" xfId="49" xr:uid="{00000000-0005-0000-0000-00006C000000}"/>
    <cellStyle name="Normal 6 2" xfId="50" xr:uid="{00000000-0005-0000-0000-00006D000000}"/>
    <cellStyle name="Normal 7" xfId="51" xr:uid="{00000000-0005-0000-0000-00006E000000}"/>
    <cellStyle name="Normal 8" xfId="52" xr:uid="{00000000-0005-0000-0000-00006F000000}"/>
    <cellStyle name="Normal 9" xfId="53" xr:uid="{00000000-0005-0000-0000-000070000000}"/>
    <cellStyle name="Notas" xfId="72" builtinId="10" customBuiltin="1"/>
    <cellStyle name="Notas 2" xfId="124" xr:uid="{00000000-0005-0000-0000-000072000000}"/>
    <cellStyle name="Porcentaje" xfId="128" builtinId="5"/>
    <cellStyle name="Porcentaje 2" xfId="125" xr:uid="{00000000-0005-0000-0000-000073000000}"/>
    <cellStyle name="Porcentual 2" xfId="54" xr:uid="{00000000-0005-0000-0000-000074000000}"/>
    <cellStyle name="Porcentual 2 2" xfId="55" xr:uid="{00000000-0005-0000-0000-000075000000}"/>
    <cellStyle name="Porcentual 2 3" xfId="56" xr:uid="{00000000-0005-0000-0000-000076000000}"/>
    <cellStyle name="Porcentual 3" xfId="57" xr:uid="{00000000-0005-0000-0000-000077000000}"/>
    <cellStyle name="Salida" xfId="67" builtinId="21" customBuiltin="1"/>
    <cellStyle name="Texto de advertencia" xfId="71" builtinId="11" customBuiltin="1"/>
    <cellStyle name="Texto explicativo" xfId="73" builtinId="53" customBuiltin="1"/>
    <cellStyle name="Título 2" xfId="61" builtinId="17" customBuiltin="1"/>
    <cellStyle name="Título 3" xfId="62" builtinId="18" customBuiltin="1"/>
    <cellStyle name="Título 4" xfId="127" xr:uid="{00000000-0005-0000-0000-00007D000000}"/>
    <cellStyle name="Título 5" xfId="126" xr:uid="{00000000-0005-0000-0000-00007E000000}"/>
    <cellStyle name="Total" xfId="74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CC"/>
      <color rgb="FF3A4CCE"/>
      <color rgb="FFFF9396"/>
      <color rgb="FFFFFFCC"/>
      <color rgb="FFFFFF99"/>
      <color rgb="FFFF7C80"/>
      <color rgb="FFEC692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5900269875023"/>
          <c:y val="7.5632647803244232E-2"/>
          <c:w val="0.8401247483434896"/>
          <c:h val="0.66193482961562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'2025 RESUMEN'!$G$58</c:f>
              <c:strCache>
                <c:ptCount val="1"/>
                <c:pt idx="0">
                  <c:v>Iniciativas de 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 RESUMEN'!$H$57:$S$57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RESUMEN'!$H$58:$S$58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1567396.095</c:v>
                </c:pt>
                <c:pt idx="3">
                  <c:v>441930.89200000005</c:v>
                </c:pt>
                <c:pt idx="4">
                  <c:v>461615.16799999995</c:v>
                </c:pt>
                <c:pt idx="5">
                  <c:v>752774.26399999997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406F-A578-C8F37D244160}"/>
            </c:ext>
          </c:extLst>
        </c:ser>
        <c:ser>
          <c:idx val="1"/>
          <c:order val="1"/>
          <c:tx>
            <c:strRef>
              <c:f>'2025 RESUMEN'!$G$59</c:f>
              <c:strCache>
                <c:ptCount val="1"/>
                <c:pt idx="0">
                  <c:v>Adquisición de Activos no Financieros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 RESUMEN'!$H$57:$S$57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RESUMEN'!$H$59:$S$59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186247.26</c:v>
                </c:pt>
                <c:pt idx="3">
                  <c:v>671703.81400000001</c:v>
                </c:pt>
                <c:pt idx="4">
                  <c:v>2227955.0729999999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406F-A578-C8F37D244160}"/>
            </c:ext>
          </c:extLst>
        </c:ser>
        <c:ser>
          <c:idx val="2"/>
          <c:order val="2"/>
          <c:tx>
            <c:strRef>
              <c:f>'2025 RESUMEN'!$G$60</c:f>
              <c:strCache>
                <c:ptCount val="1"/>
                <c:pt idx="0">
                  <c:v>Transferencia de 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'2025 RESUMEN'!$H$57:$S$57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RESUMEN'!$H$60:$S$60</c:f>
              <c:numCache>
                <c:formatCode>#,##0;\(#,##0\)</c:formatCode>
                <c:ptCount val="12"/>
                <c:pt idx="0">
                  <c:v>0</c:v>
                </c:pt>
                <c:pt idx="1">
                  <c:v>384347.42200000002</c:v>
                </c:pt>
                <c:pt idx="2">
                  <c:v>744746.81400000001</c:v>
                </c:pt>
                <c:pt idx="3">
                  <c:v>819448.26799999981</c:v>
                </c:pt>
                <c:pt idx="4">
                  <c:v>1068051.2340000002</c:v>
                </c:pt>
                <c:pt idx="5">
                  <c:v>835548.40899999999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5-406F-A578-C8F37D244160}"/>
            </c:ext>
          </c:extLst>
        </c:ser>
        <c:ser>
          <c:idx val="3"/>
          <c:order val="3"/>
          <c:tx>
            <c:strRef>
              <c:f>'2025 RESUMEN'!$G$62</c:f>
              <c:strCache>
                <c:ptCount val="1"/>
                <c:pt idx="0">
                  <c:v>Transferencias 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 RESUMEN'!$H$57:$S$57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RESUMEN'!$H$62:$S$62</c:f>
              <c:numCache>
                <c:formatCode>#,##0</c:formatCode>
                <c:ptCount val="12"/>
                <c:pt idx="0">
                  <c:v>0</c:v>
                </c:pt>
                <c:pt idx="1">
                  <c:v>2532297.3940000003</c:v>
                </c:pt>
                <c:pt idx="2">
                  <c:v>1071190.7339999999</c:v>
                </c:pt>
                <c:pt idx="3">
                  <c:v>765399.82799999998</c:v>
                </c:pt>
                <c:pt idx="4">
                  <c:v>565338.728</c:v>
                </c:pt>
                <c:pt idx="5">
                  <c:v>1309194.416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5-406F-A578-C8F37D244160}"/>
            </c:ext>
          </c:extLst>
        </c:ser>
        <c:ser>
          <c:idx val="4"/>
          <c:order val="4"/>
          <c:tx>
            <c:strRef>
              <c:f>'2025 RESUMEN'!$G$63</c:f>
              <c:strCache>
                <c:ptCount val="1"/>
                <c:pt idx="0">
                  <c:v>Bienes y Servicios de Consumo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 RESUMEN'!$H$57:$S$57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RESUMEN'!$H$63:$S$63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5-406F-A578-C8F37D24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926976"/>
        <c:axId val="230932864"/>
      </c:barChart>
      <c:catAx>
        <c:axId val="2309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32864"/>
        <c:crosses val="autoZero"/>
        <c:auto val="1"/>
        <c:lblAlgn val="ctr"/>
        <c:lblOffset val="100"/>
        <c:noMultiLvlLbl val="0"/>
      </c:catAx>
      <c:valAx>
        <c:axId val="2309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91625302294804"/>
          <c:y val="0.86305843841035168"/>
          <c:w val="0.66818932372969508"/>
          <c:h val="0.11677860308498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Ejecución</a:t>
            </a:r>
            <a:r>
              <a:rPr lang="es-CL" sz="1400" baseline="0">
                <a:solidFill>
                  <a:schemeClr val="tx1"/>
                </a:solidFill>
              </a:rPr>
              <a:t> Presupuestaria año 2024 distribuida por Año Priorización CORE de las IDIs</a:t>
            </a:r>
            <a:endParaRPr lang="es-CL" sz="14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537993088632571"/>
          <c:y val="0.14664819132245341"/>
          <c:w val="0.83712088258399464"/>
          <c:h val="0.70428598659804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 RESUMEN'!$C$108:$C$121</c:f>
              <c:strCache>
                <c:ptCount val="1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</c:strCache>
            </c:strRef>
          </c:cat>
          <c:val>
            <c:numRef>
              <c:f>'2025 RESUMEN'!$E$108:$E$121</c:f>
              <c:numCache>
                <c:formatCode>#,##0</c:formatCode>
                <c:ptCount val="14"/>
                <c:pt idx="0">
                  <c:v>1224.73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2246286.1549999998</c:v>
                </c:pt>
                <c:pt idx="7">
                  <c:v>1000581.3790000001</c:v>
                </c:pt>
                <c:pt idx="8">
                  <c:v>528081.59299999999</c:v>
                </c:pt>
                <c:pt idx="9">
                  <c:v>2939507.2380000004</c:v>
                </c:pt>
                <c:pt idx="10">
                  <c:v>775771.1</c:v>
                </c:pt>
                <c:pt idx="11">
                  <c:v>5883151.1719999993</c:v>
                </c:pt>
                <c:pt idx="12">
                  <c:v>3104322.0339999995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8-41C7-9A4F-79E0FDC3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31936"/>
        <c:axId val="231033472"/>
      </c:barChart>
      <c:catAx>
        <c:axId val="2310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3472"/>
        <c:crosses val="autoZero"/>
        <c:auto val="1"/>
        <c:lblAlgn val="ctr"/>
        <c:lblOffset val="100"/>
        <c:noMultiLvlLbl val="0"/>
      </c:catAx>
      <c:valAx>
        <c:axId val="2310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Distribución Porcentual por provincia FNDR 2024</a:t>
            </a:r>
          </a:p>
        </c:rich>
      </c:tx>
      <c:layout>
        <c:manualLayout>
          <c:xMode val="edge"/>
          <c:yMode val="edge"/>
          <c:x val="8.9314775130763857E-2"/>
          <c:y val="3.6716451965302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E90-4E2F-9F1D-9C71134F763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E90-4E2F-9F1D-9C71134F763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E90-4E2F-9F1D-9C71134F763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E90-4E2F-9F1D-9C71134F7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 RESUMEN'!$V$98:$V$101</c:f>
              <c:strCache>
                <c:ptCount val="4"/>
                <c:pt idx="0">
                  <c:v>ELQUI</c:v>
                </c:pt>
                <c:pt idx="1">
                  <c:v>LIMARÍ</c:v>
                </c:pt>
                <c:pt idx="2">
                  <c:v>CHOAPA</c:v>
                </c:pt>
                <c:pt idx="3">
                  <c:v>REGIONAL</c:v>
                </c:pt>
              </c:strCache>
            </c:strRef>
          </c:cat>
          <c:val>
            <c:numRef>
              <c:f>'2025 RESUMEN'!$W$98:$W$101</c:f>
              <c:numCache>
                <c:formatCode>#,##0</c:formatCode>
                <c:ptCount val="4"/>
                <c:pt idx="0">
                  <c:v>3338489.8549999995</c:v>
                </c:pt>
                <c:pt idx="1">
                  <c:v>5832917.3319999995</c:v>
                </c:pt>
                <c:pt idx="2">
                  <c:v>4340001.2220000001</c:v>
                </c:pt>
                <c:pt idx="3">
                  <c:v>2967516.9920000001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B-468E-8A14-2366F8845A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53166123868511"/>
          <c:y val="0.4513101853589539"/>
          <c:w val="0.19188110626093036"/>
          <c:h val="0.34816883211808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3</xdr:row>
      <xdr:rowOff>23812</xdr:rowOff>
    </xdr:from>
    <xdr:to>
      <xdr:col>34</xdr:col>
      <xdr:colOff>585108</xdr:colOff>
      <xdr:row>36</xdr:row>
      <xdr:rowOff>154779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27215</xdr:colOff>
      <xdr:row>106</xdr:row>
      <xdr:rowOff>32487</xdr:rowOff>
    </xdr:from>
    <xdr:to>
      <xdr:col>15</xdr:col>
      <xdr:colOff>610621</xdr:colOff>
      <xdr:row>127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03DEDB-F4C1-4C5D-9D19-B55F8AC4C947}"/>
            </a:ext>
            <a:ext uri="{147F2762-F138-4A5C-976F-8EAC2B608ADB}">
              <a16:predDERef xmlns:a16="http://schemas.microsoft.com/office/drawing/2014/main" pre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29765</xdr:colOff>
      <xdr:row>105</xdr:row>
      <xdr:rowOff>187267</xdr:rowOff>
    </xdr:from>
    <xdr:to>
      <xdr:col>23</xdr:col>
      <xdr:colOff>355486</xdr:colOff>
      <xdr:row>125</xdr:row>
      <xdr:rowOff>113959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914B900-532F-4ECA-8E59-28B3AB5DCA72}"/>
            </a:ext>
            <a:ext uri="{147F2762-F138-4A5C-976F-8EAC2B608ADB}">
              <a16:predDERef xmlns:a16="http://schemas.microsoft.com/office/drawing/2014/main" pred="{EE03DEDB-F4C1-4C5D-9D19-B55F8AC4C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69"/>
  <sheetViews>
    <sheetView zoomScale="70" zoomScaleNormal="70" workbookViewId="0">
      <selection activeCell="F89" sqref="F89"/>
    </sheetView>
  </sheetViews>
  <sheetFormatPr baseColWidth="10" defaultColWidth="11.42578125" defaultRowHeight="16.5"/>
  <cols>
    <col min="1" max="1" width="5.85546875" style="8" customWidth="1"/>
    <col min="2" max="2" width="8" style="47" customWidth="1"/>
    <col min="3" max="3" width="7.140625" style="47" customWidth="1"/>
    <col min="4" max="4" width="28.42578125" style="49" customWidth="1"/>
    <col min="5" max="5" width="21.85546875" style="8" customWidth="1"/>
    <col min="6" max="6" width="18" style="8" customWidth="1"/>
    <col min="7" max="7" width="20.140625" style="8" customWidth="1"/>
    <col min="8" max="8" width="15.7109375" style="8" customWidth="1"/>
    <col min="9" max="9" width="17.7109375" style="8" bestFit="1" customWidth="1"/>
    <col min="10" max="13" width="16.42578125" style="8" bestFit="1" customWidth="1"/>
    <col min="14" max="14" width="18.85546875" style="8" customWidth="1"/>
    <col min="15" max="15" width="19" style="8" customWidth="1"/>
    <col min="16" max="16" width="18.42578125" style="8" customWidth="1"/>
    <col min="17" max="17" width="18.28515625" style="8" customWidth="1"/>
    <col min="18" max="18" width="16.5703125" style="8" customWidth="1"/>
    <col min="19" max="19" width="16.7109375" style="8" customWidth="1"/>
    <col min="20" max="20" width="19.85546875" style="8" customWidth="1"/>
    <col min="21" max="21" width="18.7109375" style="8" customWidth="1"/>
    <col min="22" max="22" width="37.42578125" style="8" customWidth="1"/>
    <col min="23" max="23" width="17" style="8" bestFit="1" customWidth="1"/>
    <col min="24" max="24" width="11.42578125" style="8"/>
    <col min="25" max="25" width="11.42578125" style="8" customWidth="1"/>
    <col min="26" max="16384" width="11.42578125" style="8"/>
  </cols>
  <sheetData>
    <row r="1" spans="1:21" ht="12.75" customHeight="1">
      <c r="A1" s="284" t="s">
        <v>0</v>
      </c>
      <c r="B1" s="8"/>
      <c r="C1" s="73"/>
      <c r="D1" s="73"/>
      <c r="E1" s="73"/>
      <c r="F1" s="73"/>
    </row>
    <row r="2" spans="1:21" ht="25.5" customHeight="1">
      <c r="A2" s="284" t="s">
        <v>1</v>
      </c>
      <c r="B2" s="8"/>
      <c r="C2" s="73"/>
      <c r="D2" s="73"/>
      <c r="E2" s="73"/>
      <c r="F2" s="73"/>
      <c r="H2" s="76" t="s">
        <v>2</v>
      </c>
    </row>
    <row r="3" spans="1:21" ht="17.25" customHeight="1">
      <c r="B3" s="315">
        <v>45778</v>
      </c>
      <c r="C3" s="316"/>
      <c r="D3" s="316"/>
      <c r="E3" s="316"/>
      <c r="F3" s="316"/>
      <c r="H3" s="42" t="s">
        <v>3</v>
      </c>
      <c r="I3" s="42" t="s">
        <v>3</v>
      </c>
      <c r="J3" s="42" t="s">
        <v>3</v>
      </c>
      <c r="K3" s="42" t="s">
        <v>3</v>
      </c>
      <c r="L3" s="42" t="s">
        <v>3</v>
      </c>
      <c r="M3" s="42" t="s">
        <v>3</v>
      </c>
      <c r="N3" s="42" t="s">
        <v>3</v>
      </c>
      <c r="O3" s="42" t="s">
        <v>3</v>
      </c>
      <c r="P3" s="42" t="s">
        <v>3</v>
      </c>
      <c r="Q3" s="42" t="s">
        <v>3</v>
      </c>
      <c r="R3" s="42" t="s">
        <v>3</v>
      </c>
      <c r="S3" s="42" t="s">
        <v>3</v>
      </c>
    </row>
    <row r="4" spans="1:21" ht="16.5" customHeight="1">
      <c r="B4" s="18" t="s">
        <v>4</v>
      </c>
      <c r="C4" s="17" t="s">
        <v>5</v>
      </c>
      <c r="D4" s="133" t="s">
        <v>6</v>
      </c>
      <c r="E4" s="18" t="s">
        <v>7</v>
      </c>
      <c r="F4" s="18" t="s">
        <v>8</v>
      </c>
      <c r="G4" s="19" t="s">
        <v>9</v>
      </c>
      <c r="H4" s="33" t="s">
        <v>10</v>
      </c>
      <c r="I4" s="33" t="s">
        <v>11</v>
      </c>
      <c r="J4" s="33" t="s">
        <v>12</v>
      </c>
      <c r="K4" s="33" t="s">
        <v>13</v>
      </c>
      <c r="L4" s="33" t="s">
        <v>14</v>
      </c>
      <c r="M4" s="33" t="s">
        <v>15</v>
      </c>
      <c r="N4" s="33" t="s">
        <v>16</v>
      </c>
      <c r="O4" s="33" t="s">
        <v>17</v>
      </c>
      <c r="P4" s="33" t="s">
        <v>18</v>
      </c>
      <c r="Q4" s="33" t="s">
        <v>19</v>
      </c>
      <c r="R4" s="33" t="s">
        <v>20</v>
      </c>
      <c r="S4" s="33" t="s">
        <v>21</v>
      </c>
      <c r="T4" s="33" t="s">
        <v>3</v>
      </c>
      <c r="U4" s="18" t="s">
        <v>22</v>
      </c>
    </row>
    <row r="5" spans="1:21" ht="33">
      <c r="B5" s="134">
        <v>22</v>
      </c>
      <c r="C5" s="309">
        <v>11</v>
      </c>
      <c r="D5" s="280" t="s">
        <v>23</v>
      </c>
      <c r="E5" s="38">
        <v>380000</v>
      </c>
      <c r="F5" s="38">
        <v>370004</v>
      </c>
      <c r="G5" s="38">
        <f>SUMIFS('2025 FNDR'!$O$5:$O$458,'2025 FNDR'!$B$5:$B$458,'2025 RESUMEN'!$B$5,'2025 FNDR'!$C$5:$C$458,'2025 RESUMEN'!$C$5)</f>
        <v>100000</v>
      </c>
      <c r="H5" s="38">
        <f>SUMIFS('2025 FNDR'!Q$4:Q$195,'2025 FNDR'!$B$4:$B$195,$B$5)</f>
        <v>0</v>
      </c>
      <c r="I5" s="38">
        <f>SUMIFS('2025 FNDR'!R$4:R$195,'2025 FNDR'!$B$4:$B$195,$B$5)</f>
        <v>0</v>
      </c>
      <c r="J5" s="38">
        <f>SUMIFS('2025 FNDR'!S$4:S$195,'2025 FNDR'!$B$4:$B$195,$B$5)</f>
        <v>0</v>
      </c>
      <c r="K5" s="38">
        <f>SUMIFS('2025 FNDR'!T$4:T$195,'2025 FNDR'!$B$4:$B$195,$B$5)</f>
        <v>0</v>
      </c>
      <c r="L5" s="38">
        <f>SUMIFS('2025 FNDR'!U$4:U$347,'2025 FNDR'!$B$4:$B$347,$B$5)</f>
        <v>0</v>
      </c>
      <c r="M5" s="38">
        <f>SUMIFS('2025 FNDR'!V$4:V$347,'2025 FNDR'!$B$4:$B$347,$B$5)</f>
        <v>0</v>
      </c>
      <c r="N5" s="38">
        <f>SUMIFS('2025 FNDR'!W$4:W$347,'2025 FNDR'!$B$4:$B$347,$B$5)</f>
        <v>0</v>
      </c>
      <c r="O5" s="38">
        <f>SUMIFS('2025 FNDR'!X$4:X$347,'2025 FNDR'!$B$4:$B$347,$B$5)</f>
        <v>0</v>
      </c>
      <c r="P5" s="38">
        <f>SUMIFS('2025 FNDR'!Y$4:Y$347,'2025 FNDR'!$B$4:$B$347,$B$5)</f>
        <v>0</v>
      </c>
      <c r="Q5" s="38">
        <f>SUMIFS('2025 FNDR'!Z$4:Z$347,'2025 FNDR'!$B$4:$B$347,$B$5)</f>
        <v>0</v>
      </c>
      <c r="R5" s="38">
        <f>SUMIFS('2025 FNDR'!AA$4:AA$347,'2025 FNDR'!$B$4:$B$347,$B$5)</f>
        <v>0</v>
      </c>
      <c r="S5" s="38">
        <f>SUMIFS('2025 FNDR'!AB$4:AB$447,'2025 FNDR'!$B$4:$B$447,$B$5)</f>
        <v>0</v>
      </c>
      <c r="T5" s="38">
        <f>SUM(H5:S5)</f>
        <v>0</v>
      </c>
      <c r="U5" s="20">
        <f>+F5-T5</f>
        <v>370004</v>
      </c>
    </row>
    <row r="6" spans="1:21" ht="13.5" customHeight="1">
      <c r="B6" s="134">
        <v>24</v>
      </c>
      <c r="C6" s="135"/>
      <c r="D6" s="280" t="s">
        <v>24</v>
      </c>
      <c r="E6" s="38">
        <f>+E7+E8</f>
        <v>22885754</v>
      </c>
      <c r="F6" s="38">
        <f>SUM(F7:F8)</f>
        <v>26333833</v>
      </c>
      <c r="G6" s="38">
        <f>+G7+G8</f>
        <v>13996745.787999999</v>
      </c>
      <c r="H6" s="38">
        <f>SUM(H7:H8)</f>
        <v>0</v>
      </c>
      <c r="I6" s="38">
        <f>SUM(I7:I8)</f>
        <v>2532297.3940000003</v>
      </c>
      <c r="J6" s="38">
        <f>SUM(J7:J8)</f>
        <v>1071190.7339999999</v>
      </c>
      <c r="K6" s="38">
        <f t="shared" ref="K6:Q6" si="0">SUM(K7:K8)</f>
        <v>765399.82799999998</v>
      </c>
      <c r="L6" s="38">
        <f>SUM(L7:L8)</f>
        <v>565338.728</v>
      </c>
      <c r="M6" s="38">
        <f t="shared" si="0"/>
        <v>1309194.416</v>
      </c>
      <c r="N6" s="38">
        <f>SUM(N7:N8)</f>
        <v>0</v>
      </c>
      <c r="O6" s="38">
        <f t="shared" si="0"/>
        <v>0</v>
      </c>
      <c r="P6" s="38">
        <f>SUM(P7:P8)</f>
        <v>0</v>
      </c>
      <c r="Q6" s="38">
        <f t="shared" si="0"/>
        <v>0</v>
      </c>
      <c r="R6" s="38">
        <f>SUM(R7:R8)</f>
        <v>0</v>
      </c>
      <c r="S6" s="38">
        <f>SUM(S7:S8)</f>
        <v>0</v>
      </c>
      <c r="T6" s="38">
        <f>SUM(T7:T8)</f>
        <v>6243421.1000000006</v>
      </c>
      <c r="U6" s="20">
        <f>SUM(U7:U8)</f>
        <v>20090411.899999999</v>
      </c>
    </row>
    <row r="7" spans="1:21" ht="13.5" customHeight="1">
      <c r="B7" s="126"/>
      <c r="C7" s="127" t="s">
        <v>25</v>
      </c>
      <c r="D7" s="281" t="s">
        <v>26</v>
      </c>
      <c r="E7" s="22">
        <v>9877998</v>
      </c>
      <c r="F7" s="22">
        <f>+E7</f>
        <v>9877998</v>
      </c>
      <c r="G7" s="22">
        <f>SUMIFS('2025 FNDR'!$O$5:$O$458,'2025 FNDR'!$B$5:$B$458,'2025 RESUMEN'!$B$6,'2025 FNDR'!$C$5:$C$458,'2025 RESUMEN'!$C$7)</f>
        <v>4373039.7879999997</v>
      </c>
      <c r="H7" s="35">
        <f>SUMIFS('2025 FNDR'!Q$4:Q$195,'2025 FNDR'!$B$4:$B$195,$B$6,'2025 FNDR'!$C$4:$C$195,$C$7)</f>
        <v>0</v>
      </c>
      <c r="I7" s="35">
        <f>SUMIFS('2025 FNDR'!R$5:R$481,'2025 FNDR'!$B$5:$B$481,$B$6,'2025 FNDR'!$C$5:$C$481,$C$7)</f>
        <v>724661</v>
      </c>
      <c r="J7" s="35">
        <f>SUMIFS('2025 FNDR'!S$5:S$481,'2025 FNDR'!$B$5:$B$481,$B$6,'2025 FNDR'!$C$5:$C$481,$C$7)</f>
        <v>217996.58900000001</v>
      </c>
      <c r="K7" s="35">
        <f>SUMIFS('2025 FNDR'!T$5:T$481,'2025 FNDR'!$B$5:$B$481,$B$6,'2025 FNDR'!$C$5:$C$481,$C$7)</f>
        <v>178510.17600000001</v>
      </c>
      <c r="L7" s="35">
        <f>SUMIFS('2025 FNDR'!U$4:U$481,'2025 FNDR'!$B$4:$B$481,$B$6,'2025 FNDR'!$C$4:$C$481,$C7)</f>
        <v>25649</v>
      </c>
      <c r="M7" s="35">
        <f>SUMIFS('2025 FNDR'!V$4:V$347,'2025 FNDR'!$B$4:$B$347,$B$6,'2025 FNDR'!$C$4:$C$347,$C7)</f>
        <v>498975.60700000002</v>
      </c>
      <c r="N7" s="35">
        <f>SUMIFS('2025 FNDR'!W$4:W$347,'2025 FNDR'!$B$4:$B$347,$B$6,'2025 FNDR'!$C$4:$C$347,$C7)</f>
        <v>0</v>
      </c>
      <c r="O7" s="155">
        <f>SUMIFS('2025 FNDR'!X$4:X$387,'2025 FNDR'!$B$4:$B$387,$B$6,'2025 FNDR'!$C$4:$C$387,$C7)</f>
        <v>0</v>
      </c>
      <c r="P7" s="35">
        <f>SUMIFS('2025 FNDR'!Y$4:Y$347,'2025 FNDR'!$B$4:$B$347,$B$6,'2025 FNDR'!$C$4:$C$347,$C7)</f>
        <v>0</v>
      </c>
      <c r="Q7" s="35">
        <f>SUMIFS('2025 FNDR'!Z$4:Z$347,'2025 FNDR'!$B$4:$B$347,$B$6,'2025 FNDR'!$C$4:$C$347,$C7)</f>
        <v>0</v>
      </c>
      <c r="R7" s="35">
        <f>SUMIFS('2025 FNDR'!AA$4:AA$435,'2025 FNDR'!$B$4:$B$435,$B$6,'2025 FNDR'!$C$4:$C$435,$C7)</f>
        <v>0</v>
      </c>
      <c r="S7" s="35">
        <f>SUMIFS('2025 FNDR'!AB$4:AB$447,'2025 FNDR'!$B$4:$B$447,$B$6,'2025 FNDR'!$C$4:$C$447,$C7)</f>
        <v>0</v>
      </c>
      <c r="T7" s="155">
        <f>SUMIFS(H7:S7,$H$3:$S$3,"EJECUTADO")</f>
        <v>1645792.3720000002</v>
      </c>
      <c r="U7" s="22">
        <f>+F7-T7</f>
        <v>8232205.6279999996</v>
      </c>
    </row>
    <row r="8" spans="1:21" ht="13.5" customHeight="1">
      <c r="B8" s="126"/>
      <c r="C8" s="127" t="s">
        <v>27</v>
      </c>
      <c r="D8" s="281" t="s">
        <v>28</v>
      </c>
      <c r="E8" s="22">
        <v>13007756</v>
      </c>
      <c r="F8" s="22">
        <v>16455835</v>
      </c>
      <c r="G8" s="22">
        <f>SUMIFS('2025 FNDR'!$O$5:$O$458,'2025 FNDR'!$B$5:$B$458,'2025 RESUMEN'!$B$6,'2025 FNDR'!$C$5:$C$458,'2025 RESUMEN'!$C$8)</f>
        <v>9623706</v>
      </c>
      <c r="H8" s="35">
        <f>SUMIFS('2025 FNDR'!Q$4:Q$195,'2025 FNDR'!$B$4:$B$195,$B$6,'2025 FNDR'!$C$4:$C$195,$C$8)</f>
        <v>0</v>
      </c>
      <c r="I8" s="35">
        <f>SUMIFS('2025 FNDR'!R$5:R$481,'2025 FNDR'!$B$5:$B$481,$B$6,'2025 FNDR'!$C$5:$C$481,$C$8)</f>
        <v>1807636.3940000001</v>
      </c>
      <c r="J8" s="35">
        <f>SUMIFS('2025 FNDR'!S$5:S$481,'2025 FNDR'!$B$5:$B$481,$B$6,'2025 FNDR'!$C$5:$C$481,$C$8)</f>
        <v>853194.1449999999</v>
      </c>
      <c r="K8" s="35">
        <f>SUMIFS('2025 FNDR'!T$5:T$481,'2025 FNDR'!$B$5:$B$481,$B$6,'2025 FNDR'!$C$5:$C$481,$C$8)</f>
        <v>586889.652</v>
      </c>
      <c r="L8" s="35">
        <f>SUMIFS('2025 FNDR'!U$4:U$481,'2025 FNDR'!$B$4:$B$481,$B$6,'2025 FNDR'!$C$4:$C$481,$C8)</f>
        <v>539689.728</v>
      </c>
      <c r="M8" s="35">
        <f>SUMIFS('2025 FNDR'!V$4:V$347,'2025 FNDR'!$B$4:$B$347,$B$6,'2025 FNDR'!$C$4:$C$347,$C8)</f>
        <v>810218.80900000001</v>
      </c>
      <c r="N8" s="35">
        <f>SUMIFS('2025 FNDR'!W$4:W$347,'2025 FNDR'!$B$4:$B$347,$B$6,'2025 FNDR'!$C$4:$C$347,$C8)</f>
        <v>0</v>
      </c>
      <c r="O8" s="155">
        <f>SUMIFS('2025 FNDR'!X$4:X$387,'2025 FNDR'!$B$4:$B$387,$B$6,'2025 FNDR'!$C$4:$C$387,$C8)</f>
        <v>0</v>
      </c>
      <c r="P8" s="35">
        <f>SUMIFS('2025 FNDR'!Y$4:Y$347,'2025 FNDR'!$B$4:$B$347,$B$6,'2025 FNDR'!$C$4:$C$347,$C8)</f>
        <v>0</v>
      </c>
      <c r="Q8" s="35">
        <f>SUMIFS('2025 FNDR'!Z$4:Z$347,'2025 FNDR'!$B$4:$B$347,$B$6,'2025 FNDR'!$C$4:$C$347,$C8)</f>
        <v>0</v>
      </c>
      <c r="R8" s="35">
        <f>SUMIFS('2025 FNDR'!AA$4:AA$435,'2025 FNDR'!$B$4:$B$435,$B$6,'2025 FNDR'!$C$4:$C$435,$C8)</f>
        <v>0</v>
      </c>
      <c r="S8" s="35">
        <f>SUMIFS('2025 FNDR'!AB$4:AB$447,'2025 FNDR'!$B$4:$B$447,$B$6,'2025 FNDR'!$C$4:$C$447,$C8)</f>
        <v>0</v>
      </c>
      <c r="T8" s="155">
        <f>SUMIFS(H8:S8,$H$3:$S$3,"EJECUTADO")</f>
        <v>4597628.7280000001</v>
      </c>
      <c r="U8" s="22">
        <f>+F8-T8</f>
        <v>11858206.272</v>
      </c>
    </row>
    <row r="9" spans="1:21" ht="13.5" customHeight="1">
      <c r="B9" s="134">
        <v>26</v>
      </c>
      <c r="C9" s="135"/>
      <c r="D9" s="280" t="s">
        <v>29</v>
      </c>
      <c r="E9" s="38"/>
      <c r="F9" s="38">
        <f>F10</f>
        <v>1209996</v>
      </c>
      <c r="G9" s="38">
        <f>+G10</f>
        <v>1209996</v>
      </c>
      <c r="H9" s="38">
        <f>SUM(H10)</f>
        <v>0</v>
      </c>
      <c r="I9" s="38">
        <f t="shared" ref="I9:R9" si="1">SUM(I10)</f>
        <v>0</v>
      </c>
      <c r="J9" s="38">
        <f t="shared" si="1"/>
        <v>0</v>
      </c>
      <c r="K9" s="38">
        <f t="shared" si="1"/>
        <v>0</v>
      </c>
      <c r="L9" s="38">
        <f t="shared" si="1"/>
        <v>9996</v>
      </c>
      <c r="M9" s="38">
        <f t="shared" si="1"/>
        <v>63743.588000000003</v>
      </c>
      <c r="N9" s="38">
        <f t="shared" si="1"/>
        <v>0</v>
      </c>
      <c r="O9" s="38">
        <f t="shared" si="1"/>
        <v>0</v>
      </c>
      <c r="P9" s="38">
        <f t="shared" si="1"/>
        <v>0</v>
      </c>
      <c r="Q9" s="38">
        <f t="shared" si="1"/>
        <v>0</v>
      </c>
      <c r="R9" s="38">
        <f t="shared" si="1"/>
        <v>0</v>
      </c>
      <c r="S9" s="38">
        <f>+S10</f>
        <v>0</v>
      </c>
      <c r="T9" s="38">
        <f>+T10</f>
        <v>73739.588000000003</v>
      </c>
      <c r="U9" s="20">
        <f>+F9-T9</f>
        <v>1136256.412</v>
      </c>
    </row>
    <row r="10" spans="1:21" ht="13.5" customHeight="1">
      <c r="B10" s="126"/>
      <c r="C10" s="127" t="s">
        <v>30</v>
      </c>
      <c r="D10" s="281" t="s">
        <v>31</v>
      </c>
      <c r="E10" s="22">
        <v>0</v>
      </c>
      <c r="F10" s="22">
        <f>9996+1200000</f>
        <v>1209996</v>
      </c>
      <c r="G10" s="22">
        <f>SUMIFS('2025 FNDR'!$O$5:$O$458,'2025 FNDR'!$B$5:$B$458,'2025 RESUMEN'!$B$9,'2025 FNDR'!$C$5:$C$458,'2025 RESUMEN'!$C10)</f>
        <v>1209996</v>
      </c>
      <c r="H10" s="35">
        <f>SUMIFS('2025 FNDR'!Q$4:Q$195,'2025 FNDR'!$B$4:$B$195,$B$9,'2025 FNDR'!$C$4:$C$195,$C$10)</f>
        <v>0</v>
      </c>
      <c r="I10" s="35">
        <f>SUMIFS('2025 FNDR'!R$4:R$195,'2025 FNDR'!$B$4:$B$195,$B$9,'2025 FNDR'!$C$4:$C$195,$C$10)</f>
        <v>0</v>
      </c>
      <c r="J10" s="35">
        <f>SUMIFS('2025 FNDR'!S$4:S$195,'2025 FNDR'!$B$4:$B$195,$B$9,'2025 FNDR'!$C$4:$C$195,$C$10)</f>
        <v>0</v>
      </c>
      <c r="K10" s="35">
        <f>SUMIFS('2025 FNDR'!T$4:T$195,'2025 FNDR'!$B$4:$B$195,$B$9,'2025 FNDR'!$C$4:$C$195,$C$10)</f>
        <v>0</v>
      </c>
      <c r="L10" s="35">
        <f>SUMIFS('2025 FNDR'!U$4:U$481,'2025 FNDR'!$B$4:$B$481,$B$9,'2025 FNDR'!$C$4:$C$481,$C$10)</f>
        <v>9996</v>
      </c>
      <c r="M10" s="35">
        <f>SUMIFS('2025 FNDR'!V$4:V$347,'2025 FNDR'!$B$4:$B$347,$B$9,'2025 FNDR'!$C$4:$C$347,$C$10)</f>
        <v>63743.588000000003</v>
      </c>
      <c r="N10" s="35">
        <f>SUMIFS('2025 FNDR'!W$4:W$347,'2025 FNDR'!$B$4:$B$347,$B$9,'2025 FNDR'!$C$4:$C$347,$C$10)</f>
        <v>0</v>
      </c>
      <c r="O10" s="155">
        <f>SUMIFS('2025 FNDR'!X$4:X$387,'2025 FNDR'!$B$4:$B$387,$B$9,'2025 FNDR'!$C$4:$C$387,$C$10)</f>
        <v>0</v>
      </c>
      <c r="P10" s="35">
        <f>SUMIFS('2025 FNDR'!Y$4:Y$347,'2025 FNDR'!$B$4:$B$347,$B$9,'2025 FNDR'!$C$4:$C$347,$C$10)</f>
        <v>0</v>
      </c>
      <c r="Q10" s="35">
        <f>SUMIFS('2025 FNDR'!Z$4:Z$347,'2025 FNDR'!$B$4:$B$347,$B$9,'2025 FNDR'!$C$4:$C$347,$C$10)</f>
        <v>0</v>
      </c>
      <c r="R10" s="35">
        <f>SUMIFS('2025 FNDR'!AA$4:AA$435,'2025 FNDR'!$B$4:$B$435,$B$9,'2025 FNDR'!$C$4:$C$435,$C$10)</f>
        <v>0</v>
      </c>
      <c r="S10" s="35">
        <f>SUMIFS('2025 FNDR'!AB$4:AB$447,'2025 FNDR'!$B$4:$B$447,$B$9,'2025 FNDR'!$C$4:$C$447,$C$10)</f>
        <v>0</v>
      </c>
      <c r="T10" s="155">
        <f>SUMIFS(H10:S10,$H$3:$S$3,"EJECUTADO")</f>
        <v>73739.588000000003</v>
      </c>
      <c r="U10" s="22">
        <v>0</v>
      </c>
    </row>
    <row r="11" spans="1:21" ht="13.5" customHeight="1">
      <c r="B11" s="134">
        <v>29</v>
      </c>
      <c r="C11" s="134"/>
      <c r="D11" s="280" t="s">
        <v>32</v>
      </c>
      <c r="E11" s="39">
        <f t="shared" ref="E11:I11" si="2">SUM(E12:E19)</f>
        <v>10000000</v>
      </c>
      <c r="F11" s="39">
        <f>+F14+F16+F18</f>
        <v>12902254</v>
      </c>
      <c r="G11" s="39">
        <f t="shared" ref="G11" si="3">SUM(G12:G19)</f>
        <v>5509509.7139999997</v>
      </c>
      <c r="H11" s="39">
        <f t="shared" si="2"/>
        <v>0</v>
      </c>
      <c r="I11" s="157">
        <f t="shared" si="2"/>
        <v>0</v>
      </c>
      <c r="J11" s="157">
        <f>SUM(J12:J19)</f>
        <v>186247.26</v>
      </c>
      <c r="K11" s="157">
        <f t="shared" ref="K11:Q11" si="4">SUM(K12:K19)</f>
        <v>671703.81400000001</v>
      </c>
      <c r="L11" s="157">
        <f t="shared" si="4"/>
        <v>2227955.0729999999</v>
      </c>
      <c r="M11" s="157">
        <f t="shared" si="4"/>
        <v>0</v>
      </c>
      <c r="N11" s="157">
        <f t="shared" si="4"/>
        <v>0</v>
      </c>
      <c r="O11" s="157">
        <f t="shared" si="4"/>
        <v>0</v>
      </c>
      <c r="P11" s="157">
        <f>SUM(P12:P19)</f>
        <v>0</v>
      </c>
      <c r="Q11" s="157">
        <f t="shared" si="4"/>
        <v>0</v>
      </c>
      <c r="R11" s="157">
        <f>SUM(R12:R19)</f>
        <v>0</v>
      </c>
      <c r="S11" s="157">
        <f>SUM(S12:S19)</f>
        <v>0</v>
      </c>
      <c r="T11" s="157">
        <f>SUM(T12:T19)</f>
        <v>3085906.1469999999</v>
      </c>
      <c r="U11" s="24">
        <f>SUM(U12:U19)</f>
        <v>9816347.8530000001</v>
      </c>
    </row>
    <row r="12" spans="1:21" ht="13.5" customHeight="1">
      <c r="B12" s="125"/>
      <c r="C12" s="128" t="s">
        <v>25</v>
      </c>
      <c r="D12" s="281" t="s">
        <v>33</v>
      </c>
      <c r="E12" s="25">
        <v>0</v>
      </c>
      <c r="F12" s="25">
        <f>E12</f>
        <v>0</v>
      </c>
      <c r="G12" s="22">
        <f>SUMIFS('2025 FNDR'!$O$5:$O$458,'2025 FNDR'!$B$5:$B$458,'2025 RESUMEN'!$B$11,'2025 FNDR'!$C$5:$C$458,'2025 RESUMEN'!$C12)</f>
        <v>0</v>
      </c>
      <c r="H12" s="35">
        <f>SUMIFS('2025 FNDR'!Q$4:Q$195,'2025 FNDR'!$B$4:$B$195,$B$11,'2025 FNDR'!$C$4:$C$195,$C$12)</f>
        <v>0</v>
      </c>
      <c r="I12" s="35">
        <f>SUMIFS('2025 FNDR'!R$5:R$481,'2025 FNDR'!$B$5:$B$481,$B$11,'2025 FNDR'!$C$5:$C$481,$C12)</f>
        <v>0</v>
      </c>
      <c r="J12" s="35">
        <f>SUMIFS('2025 FNDR'!S$5:S$481,'2025 FNDR'!$B$5:$B$481,$B$11,'2025 FNDR'!$C$5:$C$481,$C12)</f>
        <v>0</v>
      </c>
      <c r="K12" s="35">
        <f>SUMIFS('2025 FNDR'!T$4:T$195,'2025 FNDR'!$B$4:$B$195,$B$11,'2025 FNDR'!$C$4:$C$195,$C$12)</f>
        <v>0</v>
      </c>
      <c r="L12" s="35">
        <f>SUMIFS('2025 FNDR'!U$5:U$481,'2025 FNDR'!$B$5:$B$481,$B$11,'2025 FNDR'!$C$5:$C$481,$C12)</f>
        <v>0</v>
      </c>
      <c r="M12" s="35">
        <f>SUMIFS('2025 FNDR'!V$4:V$347,'2025 FNDR'!$B$4:$B$347,$B$11,'2025 FNDR'!$C$4:$C$347,$C12)</f>
        <v>0</v>
      </c>
      <c r="N12" s="35">
        <f>SUMIFS('2025 FNDR'!W$4:W$347,'2025 FNDR'!$B$4:$B$347,$B$11,'2025 FNDR'!$C$4:$C$347,$C12)</f>
        <v>0</v>
      </c>
      <c r="O12" s="155">
        <f>SUMIFS('2025 FNDR'!X$4:X$387,'2025 FNDR'!$B$4:$B$387,$B$11,'2025 FNDR'!$C$4:$C$387,$C12)</f>
        <v>0</v>
      </c>
      <c r="P12" s="35">
        <f>SUMIFS('2025 FNDR'!Y$4:Y$347,'2025 FNDR'!$B$4:$B$347,$B$11,'2025 FNDR'!$C$4:$C$347,$C12)</f>
        <v>0</v>
      </c>
      <c r="Q12" s="35">
        <f>SUMIFS('2025 FNDR'!Z$4:Z$347,'2025 FNDR'!$B$4:$B$347,$B$11,'2025 FNDR'!$C$4:$C$347,$C12)</f>
        <v>0</v>
      </c>
      <c r="R12" s="35">
        <f>SUMIFS('2025 FNDR'!AA$4:AA$347,'2025 FNDR'!$B$4:$B$347,$B$11,'2025 FNDR'!$C$4:$C$347,$C12)</f>
        <v>0</v>
      </c>
      <c r="S12" s="35">
        <f>SUMIFS('2025 FNDR'!AB$4:AB$447,'2025 FNDR'!$B$4:$B$447,$B$11,'2025 FNDR'!$C$4:$C$447,$C12)</f>
        <v>0</v>
      </c>
      <c r="T12" s="155">
        <f t="shared" ref="T12:T19" si="5">SUMIFS(H12:S12,$H$3:$S$3,"EJECUTADO")</f>
        <v>0</v>
      </c>
      <c r="U12" s="22">
        <f t="shared" ref="U12:U19" si="6">+F12-T12</f>
        <v>0</v>
      </c>
    </row>
    <row r="13" spans="1:21" ht="13.5" customHeight="1">
      <c r="B13" s="125"/>
      <c r="C13" s="128" t="s">
        <v>30</v>
      </c>
      <c r="D13" s="282" t="s">
        <v>34</v>
      </c>
      <c r="E13" s="25">
        <v>0</v>
      </c>
      <c r="F13" s="25">
        <f t="shared" ref="F13" si="7">E13</f>
        <v>0</v>
      </c>
      <c r="G13" s="22">
        <f>SUMIFS('2025 FNDR'!$O$5:$O$458,'2025 FNDR'!$B$5:$B$458,'2025 RESUMEN'!$B$11,'2025 FNDR'!$C$5:$C$458,'2025 RESUMEN'!$C13)</f>
        <v>0</v>
      </c>
      <c r="H13" s="35">
        <f>SUMIFS('2025 FNDR'!Q$4:Q$195,'2025 FNDR'!$B$4:$B$195,$B$11,'2025 FNDR'!$C$4:$C$195,$C$13)</f>
        <v>0</v>
      </c>
      <c r="I13" s="35">
        <f>SUMIFS('2025 FNDR'!R$5:R$481,'2025 FNDR'!$B$5:$B$481,$B$11,'2025 FNDR'!$C$5:$C$481,$C13)</f>
        <v>0</v>
      </c>
      <c r="J13" s="35">
        <f>SUMIFS('2025 FNDR'!S$5:S$481,'2025 FNDR'!$B$5:$B$481,$B$11,'2025 FNDR'!$C$5:$C$481,$C13)</f>
        <v>0</v>
      </c>
      <c r="K13" s="35">
        <f>SUMIFS('2025 FNDR'!T$4:T$195,'2025 FNDR'!$B$4:$B$195,$B$11,'2025 FNDR'!$C$4:$C$195,$C$13)</f>
        <v>0</v>
      </c>
      <c r="L13" s="35">
        <f>SUMIFS('2025 FNDR'!U$5:U$481,'2025 FNDR'!$B$5:$B$481,$B$11,'2025 FNDR'!$C$5:$C$481,$C13)</f>
        <v>0</v>
      </c>
      <c r="M13" s="35">
        <f>SUMIFS('2025 FNDR'!V$4:V$347,'2025 FNDR'!$B$4:$B$347,$B$11,'2025 FNDR'!$C$4:$C$347,$C13)</f>
        <v>0</v>
      </c>
      <c r="N13" s="35">
        <f>SUMIFS('2025 FNDR'!W$4:W$347,'2025 FNDR'!$B$4:$B$347,$B$11,'2025 FNDR'!$C$4:$C$347,$C13)</f>
        <v>0</v>
      </c>
      <c r="O13" s="155">
        <f>SUMIFS('2025 FNDR'!X$4:X$387,'2025 FNDR'!$B$4:$B$387,$B$11,'2025 FNDR'!$C$4:$C$387,$C13)</f>
        <v>0</v>
      </c>
      <c r="P13" s="35">
        <f>SUMIFS('2025 FNDR'!Y$4:Y$347,'2025 FNDR'!$B$4:$B$347,$B$11,'2025 FNDR'!$C$4:$C$347,$C13)</f>
        <v>0</v>
      </c>
      <c r="Q13" s="35">
        <f>SUMIFS('2025 FNDR'!Z$4:Z$347,'2025 FNDR'!$B$4:$B$347,$B$11,'2025 FNDR'!$C$4:$C$347,$C13)</f>
        <v>0</v>
      </c>
      <c r="R13" s="35">
        <f>SUMIFS('2025 FNDR'!AA$4:AA$347,'2025 FNDR'!$B$4:$B$347,$B$11,'2025 FNDR'!$C$4:$C$347,$C13)</f>
        <v>0</v>
      </c>
      <c r="S13" s="35">
        <f>SUMIFS('2025 FNDR'!AB$4:AB$447,'2025 FNDR'!$B$4:$B$447,$B$11,'2025 FNDR'!$C$4:$C$447,$C13)</f>
        <v>0</v>
      </c>
      <c r="T13" s="155">
        <f t="shared" si="5"/>
        <v>0</v>
      </c>
      <c r="U13" s="22">
        <f t="shared" si="6"/>
        <v>0</v>
      </c>
    </row>
    <row r="14" spans="1:21" ht="13.5" customHeight="1">
      <c r="B14" s="125"/>
      <c r="C14" s="128" t="s">
        <v>27</v>
      </c>
      <c r="D14" s="282" t="s">
        <v>35</v>
      </c>
      <c r="E14" s="25">
        <v>8000000</v>
      </c>
      <c r="F14" s="25">
        <f>11602254-1200000</f>
        <v>10402254</v>
      </c>
      <c r="G14" s="22">
        <f>SUMIFS('2025 FNDR'!$O$5:$O$458,'2025 FNDR'!$B$5:$B$458,'2025 RESUMEN'!$B$11,'2025 FNDR'!$C$5:$C$458,'2025 RESUMEN'!$C14)</f>
        <v>4202516.7139999997</v>
      </c>
      <c r="H14" s="35">
        <f>SUMIFS('2025 FNDR'!Q$4:Q$195,'2025 FNDR'!$B$4:$B$195,$B$11,'2025 FNDR'!$C$4:$C$195,$C$14)</f>
        <v>0</v>
      </c>
      <c r="I14" s="35">
        <f>SUMIFS('2025 FNDR'!R$5:R$481,'2025 FNDR'!$B$5:$B$481,$B$11,'2025 FNDR'!$C$5:$C$481,$C14)</f>
        <v>0</v>
      </c>
      <c r="J14" s="35">
        <f>SUMIFS('2025 FNDR'!S$5:S$481,'2025 FNDR'!$B$5:$B$481,$B$11,'2025 FNDR'!$C$5:$C$481,$C14)</f>
        <v>186247.26</v>
      </c>
      <c r="K14" s="35">
        <f>SUMIFS('2025 FNDR'!T$5:T$481,'2025 FNDR'!$B$5:$B$481,$B$11,'2025 FNDR'!$C$5:$C$481,$C14)</f>
        <v>671703.81400000001</v>
      </c>
      <c r="L14" s="35">
        <f>SUMIFS('2025 FNDR'!U$5:U$481,'2025 FNDR'!$B$5:$B$481,$B$11,'2025 FNDR'!$C$5:$C$481,$C14)</f>
        <v>2227955.0729999999</v>
      </c>
      <c r="M14" s="35">
        <f>SUMIFS('2025 FNDR'!V$4:V$347,'2025 FNDR'!$B$4:$B$347,$B$11,'2025 FNDR'!$C$4:$C$347,$C14)</f>
        <v>0</v>
      </c>
      <c r="N14" s="35">
        <f>SUMIFS('2025 FNDR'!W$4:W$347,'2025 FNDR'!$B$4:$B$347,$B$11,'2025 FNDR'!$C$4:$C$347,$C14)</f>
        <v>0</v>
      </c>
      <c r="O14" s="155">
        <f>SUMIFS('2025 FNDR'!X$4:X$387,'2025 FNDR'!$B$4:$B$387,$B$11,'2025 FNDR'!$C$4:$C$387,$C14)</f>
        <v>0</v>
      </c>
      <c r="P14" s="35">
        <f>SUMIFS('2025 FNDR'!Y$4:Y$347,'2025 FNDR'!$B$4:$B$347,$B$11,'2025 FNDR'!$C$4:$C$347,$C14)</f>
        <v>0</v>
      </c>
      <c r="Q14" s="35">
        <f>SUMIFS('2025 FNDR'!Z$4:Z$347,'2025 FNDR'!$B$4:$B$347,$B$11,'2025 FNDR'!$C$4:$C$347,$C14)</f>
        <v>0</v>
      </c>
      <c r="R14" s="35">
        <f>SUMIFS('2025 FNDR'!AA$4:AA$347,'2025 FNDR'!$B$4:$B$347,$B$11,'2025 FNDR'!$C$4:$C$347,$C14)</f>
        <v>0</v>
      </c>
      <c r="S14" s="35">
        <f>SUMIFS('2025 FNDR'!AB$4:AB$447,'2025 FNDR'!$B$4:$B$447,$B$11,'2025 FNDR'!$C$4:$C$447,$C14)</f>
        <v>0</v>
      </c>
      <c r="T14" s="155">
        <f t="shared" si="5"/>
        <v>3085906.1469999999</v>
      </c>
      <c r="U14" s="22">
        <f t="shared" si="6"/>
        <v>7316347.8530000001</v>
      </c>
    </row>
    <row r="15" spans="1:21" ht="13.5" customHeight="1">
      <c r="B15" s="126"/>
      <c r="C15" s="128" t="s">
        <v>36</v>
      </c>
      <c r="D15" s="281" t="s">
        <v>37</v>
      </c>
      <c r="E15" s="25">
        <v>0</v>
      </c>
      <c r="F15" s="25">
        <v>0</v>
      </c>
      <c r="G15" s="22">
        <f>SUMIFS('2025 FNDR'!$O$5:$O$458,'2025 FNDR'!$B$5:$B$458,'2025 RESUMEN'!$B$11,'2025 FNDR'!$C$5:$C$458,'2025 RESUMEN'!$C15)</f>
        <v>0</v>
      </c>
      <c r="H15" s="35">
        <f>SUMIFS('2025 FNDR'!Q$4:Q$195,'2025 FNDR'!$B$4:$B$195,$B$11,'2025 FNDR'!$C$4:$C$195,$C$15)</f>
        <v>0</v>
      </c>
      <c r="I15" s="35">
        <f>SUMIFS('2025 FNDR'!R$5:R$481,'2025 FNDR'!$B$5:$B$481,$B$11,'2025 FNDR'!$C$5:$C$481,$C15)</f>
        <v>0</v>
      </c>
      <c r="J15" s="35">
        <f>SUMIFS('2025 FNDR'!S$5:S$481,'2025 FNDR'!$B$5:$B$481,$B$11,'2025 FNDR'!$C$5:$C$481,$C15)</f>
        <v>0</v>
      </c>
      <c r="K15" s="35">
        <f>SUMIFS('2025 FNDR'!T$4:T$195,'2025 FNDR'!$B$4:$B$195,$B$11,'2025 FNDR'!$C$4:$C$195,$C$15)</f>
        <v>0</v>
      </c>
      <c r="L15" s="35">
        <f>SUMIFS('2025 FNDR'!U$5:U$481,'2025 FNDR'!$B$5:$B$481,$B$11,'2025 FNDR'!$C$5:$C$481,$C15)</f>
        <v>0</v>
      </c>
      <c r="M15" s="35">
        <f>SUMIFS('2025 FNDR'!V$4:V$347,'2025 FNDR'!$B$4:$B$347,$B$11,'2025 FNDR'!$C$4:$C$347,$C15)</f>
        <v>0</v>
      </c>
      <c r="N15" s="35">
        <f>SUMIFS('2025 FNDR'!W$4:W$347,'2025 FNDR'!$B$4:$B$347,$B$11,'2025 FNDR'!$C$4:$C$347,$C15)</f>
        <v>0</v>
      </c>
      <c r="O15" s="155">
        <f>SUMIFS('2025 FNDR'!X$4:X$387,'2025 FNDR'!$B$4:$B$387,$B$11,'2025 FNDR'!$C$4:$C$387,$C15)</f>
        <v>0</v>
      </c>
      <c r="P15" s="35">
        <f>SUMIFS('2025 FNDR'!Y$4:Y$347,'2025 FNDR'!$B$4:$B$347,$B$11,'2025 FNDR'!$C$4:$C$347,$C15)</f>
        <v>0</v>
      </c>
      <c r="Q15" s="35">
        <f>SUMIFS('2025 FNDR'!Z$4:Z$347,'2025 FNDR'!$B$4:$B$347,$B$11,'2025 FNDR'!$C$4:$C$347,$C15)</f>
        <v>0</v>
      </c>
      <c r="R15" s="35">
        <f>SUMIFS('2025 FNDR'!AA$4:AA$347,'2025 FNDR'!$B$4:$B$347,$B$11,'2025 FNDR'!$C$4:$C$347,$C15)</f>
        <v>0</v>
      </c>
      <c r="S15" s="35">
        <f>SUMIFS('2025 FNDR'!AB$4:AB$447,'2025 FNDR'!$B$4:$B$447,$B$11,'2025 FNDR'!$C$4:$C$447,$C15)</f>
        <v>0</v>
      </c>
      <c r="T15" s="155">
        <f t="shared" si="5"/>
        <v>0</v>
      </c>
      <c r="U15" s="22">
        <f t="shared" si="6"/>
        <v>0</v>
      </c>
    </row>
    <row r="16" spans="1:21" ht="13.5" customHeight="1">
      <c r="B16" s="126"/>
      <c r="C16" s="128" t="s">
        <v>38</v>
      </c>
      <c r="D16" s="281" t="s">
        <v>39</v>
      </c>
      <c r="E16" s="25">
        <v>2000000</v>
      </c>
      <c r="F16" s="25">
        <v>2500000</v>
      </c>
      <c r="G16" s="22">
        <f>SUMIFS('2025 FNDR'!$O$5:$O$458,'2025 FNDR'!$B$5:$B$458,'2025 RESUMEN'!$B$11,'2025 FNDR'!$C$5:$C$458,'2025 RESUMEN'!$C16)</f>
        <v>1306993</v>
      </c>
      <c r="H16" s="35">
        <f>SUMIFS('2025 FNDR'!Q$4:Q$195,'2025 FNDR'!$B$4:$B$195,$B$11,'2025 FNDR'!$C$4:$C$195,$C$16)</f>
        <v>0</v>
      </c>
      <c r="I16" s="35">
        <f>SUMIFS('2025 FNDR'!R$5:R$481,'2025 FNDR'!$B$5:$B$481,$B$11,'2025 FNDR'!$C$5:$C$481,$C16)</f>
        <v>0</v>
      </c>
      <c r="J16" s="35">
        <f>SUMIFS('2025 FNDR'!S$5:S$481,'2025 FNDR'!$B$5:$B$481,$B$11,'2025 FNDR'!$C$5:$C$481,$C16)</f>
        <v>0</v>
      </c>
      <c r="K16" s="35">
        <f>SUMIFS('2025 FNDR'!T$4:T$195,'2025 FNDR'!$B$4:$B$195,$B$11,'2025 FNDR'!$C$4:$C$195,$C$16)</f>
        <v>0</v>
      </c>
      <c r="L16" s="35">
        <f>SUMIFS('2025 FNDR'!U$5:U$481,'2025 FNDR'!$B$5:$B$481,$B$11,'2025 FNDR'!$C$5:$C$481,$C16)</f>
        <v>0</v>
      </c>
      <c r="M16" s="35">
        <f>SUMIFS('2025 FNDR'!V$4:V$347,'2025 FNDR'!$B$4:$B$347,$B$11,'2025 FNDR'!$C$4:$C$347,$C16)</f>
        <v>0</v>
      </c>
      <c r="N16" s="35">
        <f>SUMIFS('2025 FNDR'!W$4:W$347,'2025 FNDR'!$B$4:$B$347,$B$11,'2025 FNDR'!$C$4:$C$347,$C16)</f>
        <v>0</v>
      </c>
      <c r="O16" s="155">
        <f>SUMIFS('2025 FNDR'!X$4:X$387,'2025 FNDR'!$B$4:$B$387,$B$11,'2025 FNDR'!$C$4:$C$387,$C16)</f>
        <v>0</v>
      </c>
      <c r="P16" s="35">
        <f>SUMIFS('2025 FNDR'!Y$4:Y$347,'2025 FNDR'!$B$4:$B$347,$B$11,'2025 FNDR'!$C$4:$C$347,$C16)</f>
        <v>0</v>
      </c>
      <c r="Q16" s="35">
        <f>SUMIFS('2025 FNDR'!Z$4:Z$347,'2025 FNDR'!$B$4:$B$347,$B$11,'2025 FNDR'!$C$4:$C$347,$C16)</f>
        <v>0</v>
      </c>
      <c r="R16" s="35">
        <f>SUMIFS('2025 FNDR'!AA$4:AA$435,'2025 FNDR'!$B$4:$B$435,$B$11,'2025 FNDR'!$C$4:$C$435,$C16)</f>
        <v>0</v>
      </c>
      <c r="S16" s="35">
        <f>SUMIFS('2025 FNDR'!AB$4:AB$447,'2025 FNDR'!$B$4:$B$447,$B$11,'2025 FNDR'!$C$4:$C$447,$C16)</f>
        <v>0</v>
      </c>
      <c r="T16" s="155">
        <f t="shared" si="5"/>
        <v>0</v>
      </c>
      <c r="U16" s="22">
        <f t="shared" si="6"/>
        <v>2500000</v>
      </c>
    </row>
    <row r="17" spans="2:21" ht="13.5" customHeight="1">
      <c r="B17" s="126"/>
      <c r="C17" s="128" t="s">
        <v>40</v>
      </c>
      <c r="D17" s="281" t="s">
        <v>41</v>
      </c>
      <c r="E17" s="147" t="s">
        <v>42</v>
      </c>
      <c r="F17" s="25" t="str">
        <f t="shared" ref="F17:F19" si="8">+E17</f>
        <v>0</v>
      </c>
      <c r="G17" s="22">
        <f>SUMIFS('2025 FNDR'!$O$5:$O$458,'2025 FNDR'!$B$5:$B$458,'2025 RESUMEN'!$B$11,'2025 FNDR'!$C$5:$C$458,'2025 RESUMEN'!$C17)</f>
        <v>0</v>
      </c>
      <c r="H17" s="35">
        <f>SUMIFS('2025 FNDR'!Q$4:Q$195,'2025 FNDR'!$B$4:$B$195,$B$11,'2025 FNDR'!$C$4:$C$195,$C$17)</f>
        <v>0</v>
      </c>
      <c r="I17" s="35">
        <f>SUMIFS('2025 FNDR'!R$5:R$481,'2025 FNDR'!$B$5:$B$481,$B$11,'2025 FNDR'!$C$5:$C$481,$C17)</f>
        <v>0</v>
      </c>
      <c r="J17" s="35">
        <f>SUMIFS('2025 FNDR'!S$5:S$481,'2025 FNDR'!$B$5:$B$481,$B$11,'2025 FNDR'!$C$5:$C$481,$C17)</f>
        <v>0</v>
      </c>
      <c r="K17" s="35">
        <f>SUMIFS('2025 FNDR'!T$4:T$195,'2025 FNDR'!$B$4:$B$195,$B$11,'2025 FNDR'!$C$4:$C$195,$C$17)</f>
        <v>0</v>
      </c>
      <c r="L17" s="35">
        <f>SUMIFS('2025 FNDR'!U$5:U$481,'2025 FNDR'!$B$5:$B$481,$B$11,'2025 FNDR'!$C$5:$C$481,$C17)</f>
        <v>0</v>
      </c>
      <c r="M17" s="35">
        <f>SUMIFS('2025 FNDR'!V$4:V$347,'2025 FNDR'!$B$4:$B$347,$B$11,'2025 FNDR'!$C$4:$C$347,$C17)</f>
        <v>0</v>
      </c>
      <c r="N17" s="35">
        <f>SUMIFS('2025 FNDR'!W$4:W$347,'2025 FNDR'!$B$4:$B$347,$B$11,'2025 FNDR'!$C$4:$C$347,$C17)</f>
        <v>0</v>
      </c>
      <c r="O17" s="155">
        <f>SUMIFS('2025 FNDR'!X$4:X$387,'2025 FNDR'!$B$4:$B$387,$B$11,'2025 FNDR'!$C$4:$C$387,$C17)</f>
        <v>0</v>
      </c>
      <c r="P17" s="35">
        <f>SUMIFS('2025 FNDR'!Y$4:Y$347,'2025 FNDR'!$B$4:$B$347,$B$11,'2025 FNDR'!$C$4:$C$347,$C17)</f>
        <v>0</v>
      </c>
      <c r="Q17" s="35">
        <f>SUMIFS('2025 FNDR'!Z$4:Z$347,'2025 FNDR'!$B$4:$B$347,$B$11,'2025 FNDR'!$C$4:$C$347,$C17)</f>
        <v>0</v>
      </c>
      <c r="R17" s="35">
        <f>SUMIFS('2025 FNDR'!AA$4:AA$347,'2025 FNDR'!$B$4:$B$347,$B$11,'2025 FNDR'!$C$4:$C$347,$C17)</f>
        <v>0</v>
      </c>
      <c r="S17" s="35">
        <f>SUMIFS('2025 FNDR'!AB$4:AB$447,'2025 FNDR'!$B$4:$B$447,$B$11,'2025 FNDR'!$C$4:$C$447,$C17)</f>
        <v>0</v>
      </c>
      <c r="T17" s="155">
        <f t="shared" si="5"/>
        <v>0</v>
      </c>
      <c r="U17" s="22">
        <f t="shared" si="6"/>
        <v>0</v>
      </c>
    </row>
    <row r="18" spans="2:21" ht="13.5" customHeight="1">
      <c r="B18" s="126"/>
      <c r="C18" s="128" t="s">
        <v>43</v>
      </c>
      <c r="D18" s="281" t="s">
        <v>44</v>
      </c>
      <c r="E18" s="25">
        <v>0</v>
      </c>
      <c r="F18" s="25">
        <f t="shared" si="8"/>
        <v>0</v>
      </c>
      <c r="G18" s="22">
        <f>SUMIFS('2025 FNDR'!$O$5:$O$458,'2025 FNDR'!$B$5:$B$458,'2025 RESUMEN'!$B$11,'2025 FNDR'!$C$5:$C$458,'2025 RESUMEN'!$C18)</f>
        <v>0</v>
      </c>
      <c r="H18" s="35">
        <f>SUMIFS('2025 FNDR'!Q$4:Q$195,'2025 FNDR'!$B$4:$B$195,$B$11,'2025 FNDR'!$C$4:$C$195,$C$18)</f>
        <v>0</v>
      </c>
      <c r="I18" s="35">
        <f>SUMIFS('2025 FNDR'!R$5:R$481,'2025 FNDR'!$B$5:$B$481,$B$11,'2025 FNDR'!$C$5:$C$481,$C18)</f>
        <v>0</v>
      </c>
      <c r="J18" s="35">
        <f>SUMIFS('2025 FNDR'!S$5:S$481,'2025 FNDR'!$B$5:$B$481,$B$11,'2025 FNDR'!$C$5:$C$481,$C18)</f>
        <v>0</v>
      </c>
      <c r="K18" s="35">
        <f>SUMIFS('2025 FNDR'!T$4:T$195,'2025 FNDR'!$B$4:$B$195,$B$11,'2025 FNDR'!$C$4:$C$195,$C$18)</f>
        <v>0</v>
      </c>
      <c r="L18" s="35">
        <f>SUMIFS('2025 FNDR'!U$5:U$481,'2025 FNDR'!$B$5:$B$481,$B$11,'2025 FNDR'!$C$5:$C$481,$C18)</f>
        <v>0</v>
      </c>
      <c r="M18" s="35">
        <f>SUMIFS('2025 FNDR'!V$4:V$347,'2025 FNDR'!$B$4:$B$347,$B$11,'2025 FNDR'!$C$4:$C$347,$C18)</f>
        <v>0</v>
      </c>
      <c r="N18" s="35">
        <f>SUMIFS('2025 FNDR'!W$4:W$347,'2025 FNDR'!$B$4:$B$347,$B$11,'2025 FNDR'!$C$4:$C$347,$C18)</f>
        <v>0</v>
      </c>
      <c r="O18" s="155">
        <f>SUMIFS('2025 FNDR'!X$4:X$387,'2025 FNDR'!$B$4:$B$387,$B$11,'2025 FNDR'!$C$4:$C$387,$C18)</f>
        <v>0</v>
      </c>
      <c r="P18" s="35">
        <f>SUMIFS('2025 FNDR'!Y$4:Y$347,'2025 FNDR'!$B$4:$B$347,$B$11,'2025 FNDR'!$C$4:$C$347,$C18)</f>
        <v>0</v>
      </c>
      <c r="Q18" s="35">
        <f>SUMIFS('2025 FNDR'!Z$4:Z$347,'2025 FNDR'!$B$4:$B$347,$B$11,'2025 FNDR'!$C$4:$C$347,$C18)</f>
        <v>0</v>
      </c>
      <c r="R18" s="35">
        <f>SUMIFS('2025 FNDR'!AA$4:AA$347,'2025 FNDR'!$B$4:$B$347,$B$11,'2025 FNDR'!$C$4:$C$347,$C18)</f>
        <v>0</v>
      </c>
      <c r="S18" s="35">
        <f>SUMIFS('2025 FNDR'!AB$4:AB$447,'2025 FNDR'!$B$4:$B$447,$B$11,'2025 FNDR'!$C$4:$C$447,$C18)</f>
        <v>0</v>
      </c>
      <c r="T18" s="155">
        <f t="shared" si="5"/>
        <v>0</v>
      </c>
      <c r="U18" s="22">
        <f t="shared" si="6"/>
        <v>0</v>
      </c>
    </row>
    <row r="19" spans="2:21" ht="13.5" customHeight="1">
      <c r="B19" s="126"/>
      <c r="C19" s="128" t="s">
        <v>45</v>
      </c>
      <c r="D19" s="281" t="s">
        <v>46</v>
      </c>
      <c r="E19" s="25">
        <v>0</v>
      </c>
      <c r="F19" s="25">
        <f t="shared" si="8"/>
        <v>0</v>
      </c>
      <c r="G19" s="22">
        <f>SUMIFS('2025 FNDR'!$O$5:$O$458,'2025 FNDR'!$B$5:$B$458,'2025 RESUMEN'!$B$11,'2025 FNDR'!$C$5:$C$458,'2025 RESUMEN'!$C19)</f>
        <v>0</v>
      </c>
      <c r="H19" s="35">
        <f>SUMIFS('2025 FNDR'!Q$4:Q$195,'2025 FNDR'!$B$4:$B$195,$B$11,'2025 FNDR'!$C$4:$C$195,$C$19)</f>
        <v>0</v>
      </c>
      <c r="I19" s="35">
        <f>SUMIFS('2025 FNDR'!R$5:R$481,'2025 FNDR'!$B$5:$B$481,$B$11,'2025 FNDR'!$C$5:$C$481,$C19)</f>
        <v>0</v>
      </c>
      <c r="J19" s="35">
        <f>SUMIFS('2025 FNDR'!S$5:S$481,'2025 FNDR'!$B$5:$B$481,$B$11,'2025 FNDR'!$C$5:$C$481,$C19)</f>
        <v>0</v>
      </c>
      <c r="K19" s="35">
        <f>SUMIFS('2025 FNDR'!T$4:T$195,'2025 FNDR'!$B$4:$B$195,$B$11,'2025 FNDR'!$C$4:$C$195,$C$19)</f>
        <v>0</v>
      </c>
      <c r="L19" s="35">
        <f>SUMIFS('2025 FNDR'!U$5:U$481,'2025 FNDR'!$B$5:$B$481,$B$11,'2025 FNDR'!$C$5:$C$481,$C19)</f>
        <v>0</v>
      </c>
      <c r="M19" s="35">
        <f>SUMIFS('2025 FNDR'!V$4:V$347,'2025 FNDR'!$B$4:$B$347,$B$11,'2025 FNDR'!$C$4:$C$347,$C19)</f>
        <v>0</v>
      </c>
      <c r="N19" s="35">
        <f>SUMIFS('2025 FNDR'!W$4:W$347,'2025 FNDR'!$B$4:$B$347,$B$11,'2025 FNDR'!$C$4:$C$347,$C19)</f>
        <v>0</v>
      </c>
      <c r="O19" s="155">
        <f>SUMIFS('2025 FNDR'!X$4:X$387,'2025 FNDR'!$B$4:$B$387,$B$11,'2025 FNDR'!$C$4:$C$387,$C19)</f>
        <v>0</v>
      </c>
      <c r="P19" s="35">
        <f>SUMIFS('2025 FNDR'!Y$4:Y$347,'2025 FNDR'!$B$4:$B$347,$B$11,'2025 FNDR'!$C$4:$C$347,$C19)</f>
        <v>0</v>
      </c>
      <c r="Q19" s="35">
        <f>SUMIFS('2025 FNDR'!Z$4:Z$347,'2025 FNDR'!$B$4:$B$347,$B$11,'2025 FNDR'!$C$4:$C$347,$C19)</f>
        <v>0</v>
      </c>
      <c r="R19" s="35">
        <f>SUMIFS('2025 FNDR'!AA$4:AA$347,'2025 FNDR'!$B$4:$B$347,$B$11,'2025 FNDR'!$C$4:$C$347,$C19)</f>
        <v>0</v>
      </c>
      <c r="S19" s="35">
        <f>SUMIFS('2025 FNDR'!AB$4:AB$447,'2025 FNDR'!$B$4:$B$447,$B$11,'2025 FNDR'!$C$4:$C$447,$C19)</f>
        <v>0</v>
      </c>
      <c r="T19" s="155">
        <f t="shared" si="5"/>
        <v>0</v>
      </c>
      <c r="U19" s="22">
        <f t="shared" si="6"/>
        <v>0</v>
      </c>
    </row>
    <row r="20" spans="2:21" ht="13.5" customHeight="1">
      <c r="B20" s="126"/>
      <c r="C20" s="126"/>
      <c r="D20" s="283"/>
      <c r="E20" s="23"/>
      <c r="F20" s="23"/>
      <c r="G20" s="23"/>
      <c r="H20" s="3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21"/>
    </row>
    <row r="21" spans="2:21" ht="13.5" customHeight="1">
      <c r="B21" s="134">
        <v>31</v>
      </c>
      <c r="C21" s="134"/>
      <c r="D21" s="280" t="s">
        <v>47</v>
      </c>
      <c r="E21" s="38">
        <f>SUM(E22:E24)</f>
        <v>28678682</v>
      </c>
      <c r="F21" s="38">
        <f>SUM(F22:F24)</f>
        <v>23457797</v>
      </c>
      <c r="G21" s="38">
        <f>SUM(G22:G24)</f>
        <v>19841082</v>
      </c>
      <c r="H21" s="38">
        <f>SUM(H22:H24)</f>
        <v>0</v>
      </c>
      <c r="I21" s="38">
        <f t="shared" ref="I21:S21" si="9">SUM(I22:I24)</f>
        <v>0</v>
      </c>
      <c r="J21" s="38">
        <f t="shared" si="9"/>
        <v>1567396.095</v>
      </c>
      <c r="K21" s="38">
        <f t="shared" si="9"/>
        <v>441930.89200000005</v>
      </c>
      <c r="L21" s="38">
        <f t="shared" si="9"/>
        <v>461615.16799999995</v>
      </c>
      <c r="M21" s="38">
        <f t="shared" si="9"/>
        <v>752774.26399999997</v>
      </c>
      <c r="N21" s="38">
        <f t="shared" si="9"/>
        <v>0</v>
      </c>
      <c r="O21" s="38">
        <f t="shared" si="9"/>
        <v>0</v>
      </c>
      <c r="P21" s="38">
        <f>SUM(P22:P24)</f>
        <v>0</v>
      </c>
      <c r="Q21" s="38">
        <f t="shared" si="9"/>
        <v>0</v>
      </c>
      <c r="R21" s="38">
        <f t="shared" si="9"/>
        <v>0</v>
      </c>
      <c r="S21" s="38">
        <f t="shared" si="9"/>
        <v>0</v>
      </c>
      <c r="T21" s="38">
        <f>SUM(T22:T24)</f>
        <v>3223716.4189999998</v>
      </c>
      <c r="U21" s="20">
        <f>SUM(U22:U24)</f>
        <v>20234080.581</v>
      </c>
    </row>
    <row r="22" spans="2:21" ht="13.5" customHeight="1">
      <c r="B22" s="125"/>
      <c r="C22" s="128" t="s">
        <v>25</v>
      </c>
      <c r="D22" s="281" t="s">
        <v>48</v>
      </c>
      <c r="E22" s="22">
        <v>650000</v>
      </c>
      <c r="F22" s="22">
        <f>+E22</f>
        <v>650000</v>
      </c>
      <c r="G22" s="22">
        <f>SUMIFS('2025 FNDR'!$O$5:$O$458,'2025 FNDR'!$B$5:$B$458,'2025 RESUMEN'!$B$21,'2025 FNDR'!$C$5:$C$458,'2025 RESUMEN'!$C22)</f>
        <v>75000</v>
      </c>
      <c r="H22" s="35">
        <f>SUMIFS('2025 FNDR'!Q$4:Q$195,'2025 FNDR'!$B$4:$B$195,$B$21,'2025 FNDR'!$C$4:$C$195,$C$22)</f>
        <v>0</v>
      </c>
      <c r="I22" s="35">
        <f>SUMIFS('2025 FNDR'!R$5:R$481,'2025 FNDR'!$B$5:$B$481,$B$21,'2025 FNDR'!$C$5:$C$481,$C22)</f>
        <v>0</v>
      </c>
      <c r="J22" s="35">
        <f>SUMIFS('2025 FNDR'!S$5:S$481,'2025 FNDR'!$B$5:$B$481,$B$21,'2025 FNDR'!$C$5:$C$481,$C22)</f>
        <v>0</v>
      </c>
      <c r="K22" s="35">
        <f>SUMIFS('2025 FNDR'!T$5:T$481,'2025 FNDR'!$B$5:$B$481,$B$21,'2025 FNDR'!$C$5:$C$481,$C22)</f>
        <v>0</v>
      </c>
      <c r="L22" s="35">
        <f>SUMIFS('2025 FNDR'!U$5:U$481,'2025 FNDR'!$B$5:$B$481,$B$21,'2025 FNDR'!$C$5:$C$481,$C22)</f>
        <v>29770</v>
      </c>
      <c r="M22" s="35">
        <f>SUMIFS('2025 FNDR'!V$4:V$347,'2025 FNDR'!$B$4:$B$347,$B$21,'2025 FNDR'!$C$4:$C$347,$C22)</f>
        <v>19500</v>
      </c>
      <c r="N22" s="35">
        <f>SUMIFS('2025 FNDR'!W$4:W$347,'2025 FNDR'!$B$4:$B$347,$B$21,'2025 FNDR'!$C$4:$C$347,$C22)</f>
        <v>0</v>
      </c>
      <c r="O22" s="155">
        <f>SUMIFS('2025 FNDR'!X$4:X$387,'2025 FNDR'!$B$4:$B$387,$B$21,'2025 FNDR'!$C$4:$C$387,$C22)</f>
        <v>0</v>
      </c>
      <c r="P22" s="35">
        <f>SUMIFS('2025 FNDR'!Y$4:Y$347,'2025 FNDR'!$B$4:$B$347,$B$21,'2025 FNDR'!$C$4:$C$347,$C22)</f>
        <v>0</v>
      </c>
      <c r="Q22" s="35">
        <f>SUMIFS('2025 FNDR'!Z$4:Z$347,'2025 FNDR'!$B$4:$B$347,$B$21,'2025 FNDR'!$C$4:$C$347,$C22)</f>
        <v>0</v>
      </c>
      <c r="R22" s="35">
        <f>SUMIFS('2025 FNDR'!AA$4:AA$347,'2025 FNDR'!$B$4:$B$347,$B$21,'2025 FNDR'!$C$4:$C$347,$C22)</f>
        <v>0</v>
      </c>
      <c r="S22" s="35">
        <f>SUMIFS('2025 FNDR'!AB$4:AB$447,'2025 FNDR'!$B$4:$B$447,$B$21,'2025 FNDR'!$C$4:$C$447,$C22)</f>
        <v>0</v>
      </c>
      <c r="T22" s="155">
        <f>SUMIFS(H22:S22,$H$3:$S$3,"EJECUTADO")</f>
        <v>49270</v>
      </c>
      <c r="U22" s="22">
        <f>+F22-T22</f>
        <v>600730</v>
      </c>
    </row>
    <row r="23" spans="2:21" ht="13.5" customHeight="1">
      <c r="B23" s="125"/>
      <c r="C23" s="128" t="s">
        <v>30</v>
      </c>
      <c r="D23" s="282" t="s">
        <v>49</v>
      </c>
      <c r="E23" s="22">
        <v>28028682</v>
      </c>
      <c r="F23" s="22">
        <f>27718702-4910905</f>
        <v>22807797</v>
      </c>
      <c r="G23" s="22">
        <f>SUMIFS('2025 FNDR'!$O$5:$O$458,'2025 FNDR'!$B$5:$B$458,'2025 RESUMEN'!$B$21,'2025 FNDR'!$C$5:$C$458,'2025 RESUMEN'!$C23)</f>
        <v>19766082</v>
      </c>
      <c r="H23" s="35">
        <f>SUMIFS('2025 FNDR'!Q$4:Q$195,'2025 FNDR'!$B$4:$B$195,$B$21,'2025 FNDR'!$C$4:$C$195,$C$23)</f>
        <v>0</v>
      </c>
      <c r="I23" s="35">
        <f>SUMIFS('2025 FNDR'!R$5:R$481,'2025 FNDR'!$B$5:$B$481,$B$21,'2025 FNDR'!$C$5:$C$481,$C23)</f>
        <v>0</v>
      </c>
      <c r="J23" s="35">
        <f>SUMIFS('2025 FNDR'!S$5:S$481,'2025 FNDR'!$B$5:$B$481,$B$21,'2025 FNDR'!$C$5:$C$481,$C23)</f>
        <v>1567396.095</v>
      </c>
      <c r="K23" s="35">
        <f>SUMIFS('2025 FNDR'!T$5:T$481,'2025 FNDR'!$B$5:$B$481,$B$21,'2025 FNDR'!$C$5:$C$481,$C23)</f>
        <v>441930.89200000005</v>
      </c>
      <c r="L23" s="35">
        <f>SUMIFS('2025 FNDR'!U$5:U$481,'2025 FNDR'!$B$5:$B$481,$B$21,'2025 FNDR'!$C$5:$C$481,$C23)</f>
        <v>431845.16799999995</v>
      </c>
      <c r="M23" s="35">
        <f>SUMIFS('2025 FNDR'!V$4:V$347,'2025 FNDR'!$B$4:$B$347,$B$21,'2025 FNDR'!$C$4:$C$347,$C23)</f>
        <v>733274.26399999997</v>
      </c>
      <c r="N23" s="35">
        <f>SUMIFS('2025 FNDR'!W$4:W$347,'2025 FNDR'!$B$4:$B$347,$B$21,'2025 FNDR'!$C$4:$C$347,$C23)</f>
        <v>0</v>
      </c>
      <c r="O23" s="155">
        <f>SUMIFS('2025 FNDR'!X$4:X$387,'2025 FNDR'!$B$4:$B$387,$B$21,'2025 FNDR'!$C$4:$C$387,$C23)</f>
        <v>0</v>
      </c>
      <c r="P23" s="35">
        <f>SUMIFS('2025 FNDR'!Y$4:Y$347,'2025 FNDR'!$B$4:$B$347,$B$21,'2025 FNDR'!$C$4:$C$347,$C23)</f>
        <v>0</v>
      </c>
      <c r="Q23" s="35">
        <f>SUMIFS('2025 FNDR'!Z$4:Z$347,'2025 FNDR'!$B$4:$B$347,$B$21,'2025 FNDR'!$C$4:$C$347,$C23)</f>
        <v>0</v>
      </c>
      <c r="R23" s="35">
        <f>SUMIFS('2025 FNDR'!AA$4:AA$435,'2025 FNDR'!$B$4:$B$435,$B$21,'2025 FNDR'!$C$4:$C$435,$C23)</f>
        <v>0</v>
      </c>
      <c r="S23" s="35">
        <f>SUMIFS('2025 FNDR'!AB$4:AB$447,'2025 FNDR'!$B$4:$B$447,$B$21,'2025 FNDR'!$C$4:$C$447,$C23)</f>
        <v>0</v>
      </c>
      <c r="T23" s="155">
        <f>SUMIFS(H23:S23,$H$3:$S$3,"EJECUTADO")</f>
        <v>3174446.4189999998</v>
      </c>
      <c r="U23" s="22">
        <f>+F23-T23</f>
        <v>19633350.581</v>
      </c>
    </row>
    <row r="24" spans="2:21" ht="13.5" customHeight="1">
      <c r="B24" s="125"/>
      <c r="C24" s="128" t="s">
        <v>27</v>
      </c>
      <c r="D24" s="282" t="s">
        <v>50</v>
      </c>
      <c r="E24" s="22">
        <v>0</v>
      </c>
      <c r="F24" s="22">
        <v>0</v>
      </c>
      <c r="G24" s="22">
        <f>SUMIFS('2025 FNDR'!$O$5:$O$458,'2025 FNDR'!$B$5:$B$458,'2025 RESUMEN'!$B$21,'2025 FNDR'!$C$5:$C$458,'2025 RESUMEN'!$C24)</f>
        <v>0</v>
      </c>
      <c r="H24" s="35">
        <f>SUMIFS('2025 FNDR'!Q$4:Q$195,'2025 FNDR'!$B$4:$B$195,$B$21,'2025 FNDR'!$C$4:$C$195,$C$24)</f>
        <v>0</v>
      </c>
      <c r="I24" s="35">
        <f>SUMIFS('2025 FNDR'!R$5:R$481,'2025 FNDR'!$B$5:$B$481,$B$21,'2025 FNDR'!$C$5:$C$481,$C24)</f>
        <v>0</v>
      </c>
      <c r="J24" s="35">
        <f>SUMIFS('2025 FNDR'!S$5:S$481,'2025 FNDR'!$B$5:$B$481,$B$21,'2025 FNDR'!$C$5:$C$481,$C24)</f>
        <v>0</v>
      </c>
      <c r="K24" s="35">
        <f>SUMIFS('2025 FNDR'!T$5:T$481,'2025 FNDR'!$B$5:$B$481,$B$21,'2025 FNDR'!$C$5:$C$481,$C24)</f>
        <v>0</v>
      </c>
      <c r="L24" s="35">
        <f>SUMIFS('2025 FNDR'!U$5:U$481,'2025 FNDR'!$B$5:$B$481,$B$21,'2025 FNDR'!$C$5:$C$481,$C24)</f>
        <v>0</v>
      </c>
      <c r="M24" s="35">
        <f>SUMIFS('2025 FNDR'!V$4:V$347,'2025 FNDR'!$B$4:$B$347,$B$21,'2025 FNDR'!$C$4:$C$347,$C24)</f>
        <v>0</v>
      </c>
      <c r="N24" s="35">
        <f>SUMIFS('2025 FNDR'!W$4:W$347,'2025 FNDR'!$B$4:$B$347,$B$21,'2025 FNDR'!$C$4:$C$347,$C24)</f>
        <v>0</v>
      </c>
      <c r="O24" s="155">
        <f>SUMIFS('2025 FNDR'!X$4:X$387,'2025 FNDR'!$B$4:$B$387,$B$21,'2025 FNDR'!$C$4:$C$387,$C24)</f>
        <v>0</v>
      </c>
      <c r="P24" s="35">
        <f>SUMIFS('2025 FNDR'!Y$4:Y$347,'2025 FNDR'!$B$4:$B$347,$B$21,'2025 FNDR'!$C$4:$C$347,$C24)</f>
        <v>0</v>
      </c>
      <c r="Q24" s="35">
        <f>SUMIFS('2025 FNDR'!Z$4:Z$347,'2025 FNDR'!$B$4:$B$347,$B$21,'2025 FNDR'!$C$4:$C$347,$C24)</f>
        <v>0</v>
      </c>
      <c r="R24" s="35">
        <f>SUMIFS('2025 FNDR'!AA$4:AA$347,'2025 FNDR'!$B$4:$B$347,$B$21,'2025 FNDR'!$C$4:$C$347,$C24)</f>
        <v>0</v>
      </c>
      <c r="S24" s="35">
        <f>SUMIFS('2025 FNDR'!AB$4:AB$447,'2025 FNDR'!$B$4:$B$447,$B$21,'2025 FNDR'!$C$4:$C$447,$C24)</f>
        <v>0</v>
      </c>
      <c r="T24" s="155">
        <f>SUMIFS(H24:S24,$H$3:$S$3,"EJECUTADO")</f>
        <v>0</v>
      </c>
      <c r="U24" s="22">
        <f>+F24-T24</f>
        <v>0</v>
      </c>
    </row>
    <row r="25" spans="2:21" ht="13.5" customHeight="1">
      <c r="B25" s="126"/>
      <c r="C25" s="128"/>
      <c r="D25" s="282"/>
      <c r="E25" s="22"/>
      <c r="F25" s="22"/>
      <c r="G25" s="22"/>
      <c r="H25" s="3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22"/>
    </row>
    <row r="26" spans="2:21" ht="13.5" customHeight="1">
      <c r="B26" s="134">
        <v>32</v>
      </c>
      <c r="C26" s="136"/>
      <c r="D26" s="280" t="s">
        <v>51</v>
      </c>
      <c r="E26" s="38">
        <f>SUM(E27:E29)</f>
        <v>0</v>
      </c>
      <c r="F26" s="38">
        <f>SUM(F27:F29)</f>
        <v>0</v>
      </c>
      <c r="G26" s="38">
        <f>SUM(G27:G29)</f>
        <v>0</v>
      </c>
      <c r="H26" s="38">
        <f t="shared" ref="H26:S26" si="10">SUM(H27:H29)</f>
        <v>0</v>
      </c>
      <c r="I26" s="38">
        <f>SUM(I27:I29)</f>
        <v>0</v>
      </c>
      <c r="J26" s="38">
        <f t="shared" si="10"/>
        <v>0</v>
      </c>
      <c r="K26" s="38">
        <f>SUM(K27:K29)</f>
        <v>0</v>
      </c>
      <c r="L26" s="38">
        <f t="shared" si="10"/>
        <v>0</v>
      </c>
      <c r="M26" s="38">
        <f t="shared" si="10"/>
        <v>0</v>
      </c>
      <c r="N26" s="38">
        <f t="shared" si="10"/>
        <v>0</v>
      </c>
      <c r="O26" s="38">
        <f t="shared" si="10"/>
        <v>0</v>
      </c>
      <c r="P26" s="38">
        <f>SUM(P27:P29)</f>
        <v>0</v>
      </c>
      <c r="Q26" s="38">
        <f t="shared" si="10"/>
        <v>0</v>
      </c>
      <c r="R26" s="38">
        <f t="shared" si="10"/>
        <v>0</v>
      </c>
      <c r="S26" s="38">
        <f t="shared" si="10"/>
        <v>0</v>
      </c>
      <c r="T26" s="38">
        <f>SUM(T27:T28)</f>
        <v>0</v>
      </c>
      <c r="U26" s="20">
        <f>SUM(U27:U29)</f>
        <v>0</v>
      </c>
    </row>
    <row r="27" spans="2:21" ht="13.5" customHeight="1">
      <c r="B27" s="125"/>
      <c r="C27" s="128" t="s">
        <v>40</v>
      </c>
      <c r="D27" s="282" t="s">
        <v>51</v>
      </c>
      <c r="E27" s="22">
        <v>0</v>
      </c>
      <c r="F27" s="22">
        <v>0</v>
      </c>
      <c r="G27" s="22"/>
      <c r="H27" s="35">
        <v>0</v>
      </c>
      <c r="I27" s="155">
        <v>0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  <c r="P27" s="155">
        <v>0</v>
      </c>
      <c r="Q27" s="155">
        <v>0</v>
      </c>
      <c r="R27" s="155">
        <v>0</v>
      </c>
      <c r="S27" s="155">
        <v>0</v>
      </c>
      <c r="T27" s="155">
        <f>SUMIFS(H27:S27,$H$3:$S$3,"EJECUTADO")</f>
        <v>0</v>
      </c>
      <c r="U27" s="22">
        <f>+F27-T27</f>
        <v>0</v>
      </c>
    </row>
    <row r="28" spans="2:21" ht="13.5" customHeight="1">
      <c r="B28" s="125"/>
      <c r="C28" s="128"/>
      <c r="D28" s="282" t="s">
        <v>52</v>
      </c>
      <c r="E28" s="22">
        <v>0</v>
      </c>
      <c r="F28" s="22">
        <f>SUM(E28:E28)</f>
        <v>0</v>
      </c>
      <c r="G28" s="22">
        <v>0</v>
      </c>
      <c r="H28" s="35">
        <v>0</v>
      </c>
      <c r="I28" s="155">
        <v>0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  <c r="P28" s="155">
        <v>0</v>
      </c>
      <c r="Q28" s="155">
        <v>0</v>
      </c>
      <c r="R28" s="155">
        <v>0</v>
      </c>
      <c r="S28" s="155">
        <v>0</v>
      </c>
      <c r="T28" s="155">
        <f>SUMIFS(H28:S28,$H$3:$S$3,"EJECUTADO")</f>
        <v>0</v>
      </c>
      <c r="U28" s="22">
        <f>+F28-T28</f>
        <v>0</v>
      </c>
    </row>
    <row r="29" spans="2:21" ht="13.5" customHeight="1">
      <c r="B29" s="125"/>
      <c r="C29" s="128"/>
      <c r="D29" s="282"/>
      <c r="E29" s="22"/>
      <c r="F29" s="22"/>
      <c r="G29" s="22"/>
      <c r="H29" s="3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22">
        <f>+F29-T29</f>
        <v>0</v>
      </c>
    </row>
    <row r="30" spans="2:21" ht="13.5" customHeight="1">
      <c r="B30" s="125"/>
      <c r="C30" s="128"/>
      <c r="D30" s="282"/>
      <c r="E30" s="26"/>
      <c r="F30" s="26"/>
      <c r="G30" s="26"/>
      <c r="H30" s="37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22"/>
    </row>
    <row r="31" spans="2:21" ht="13.5" customHeight="1">
      <c r="B31" s="134">
        <v>33</v>
      </c>
      <c r="C31" s="136"/>
      <c r="D31" s="280" t="s">
        <v>53</v>
      </c>
      <c r="E31" s="40">
        <f>E34+E32</f>
        <v>36273659</v>
      </c>
      <c r="F31" s="40">
        <f>SUM(F32:F34)</f>
        <v>33135580</v>
      </c>
      <c r="G31" s="40">
        <f>G32+G34+G33</f>
        <v>28003429</v>
      </c>
      <c r="H31" s="40">
        <f>SUM(H32:H34)</f>
        <v>0</v>
      </c>
      <c r="I31" s="38">
        <f t="shared" ref="I31:R31" si="11">SUM(I32:I34)</f>
        <v>384347.42200000002</v>
      </c>
      <c r="J31" s="38">
        <f t="shared" si="11"/>
        <v>744746.81400000001</v>
      </c>
      <c r="K31" s="38">
        <f>SUM(K32:K34)</f>
        <v>819448.26799999981</v>
      </c>
      <c r="L31" s="38">
        <f t="shared" si="11"/>
        <v>1068051.2340000002</v>
      </c>
      <c r="M31" s="38">
        <f>SUM(M32:M34)</f>
        <v>835548.40899999999</v>
      </c>
      <c r="N31" s="38">
        <f t="shared" si="11"/>
        <v>0</v>
      </c>
      <c r="O31" s="38">
        <f t="shared" si="11"/>
        <v>0</v>
      </c>
      <c r="P31" s="38">
        <f>SUM(P32:P34)</f>
        <v>0</v>
      </c>
      <c r="Q31" s="38">
        <f t="shared" si="11"/>
        <v>0</v>
      </c>
      <c r="R31" s="38">
        <f t="shared" si="11"/>
        <v>0</v>
      </c>
      <c r="S31" s="38">
        <f>SUM(S32:S34)</f>
        <v>0</v>
      </c>
      <c r="T31" s="38">
        <f>+T34+T32+T33</f>
        <v>3852142.1469999999</v>
      </c>
      <c r="U31" s="20">
        <f>+U34+U32+U33</f>
        <v>29283437.853</v>
      </c>
    </row>
    <row r="32" spans="2:21" ht="13.5" customHeight="1">
      <c r="B32" s="125"/>
      <c r="C32" s="128" t="s">
        <v>25</v>
      </c>
      <c r="D32" s="282" t="s">
        <v>26</v>
      </c>
      <c r="E32" s="22">
        <v>1640662</v>
      </c>
      <c r="F32" s="22">
        <f>+E32</f>
        <v>1640662</v>
      </c>
      <c r="G32" s="22">
        <f>SUMIFS('2025 FNDR'!$O$5:$O$458,'2025 FNDR'!$B$5:$B$458,'2025 RESUMEN'!$B$31,'2025 FNDR'!$C$5:$C$458,'2025 RESUMEN'!$C32)</f>
        <v>1640662</v>
      </c>
      <c r="H32" s="35">
        <f>SUMIFS('2025 FNDR'!Q$4:Q$195,'2025 FNDR'!$B$4:$B$195,$B$31,'2025 FNDR'!$C$4:$C$195,$C$32)</f>
        <v>0</v>
      </c>
      <c r="I32" s="35">
        <f>SUMIFS('2025 FNDR'!R$5:R$481,'2025 FNDR'!$B$5:$B$481,$B$31,'2025 FNDR'!$C$5:$C$481,$C$32)</f>
        <v>0</v>
      </c>
      <c r="J32" s="35">
        <f>SUMIFS('2025 FNDR'!S$5:S$481,'2025 FNDR'!$B$5:$B$481,$B$31,'2025 FNDR'!$C$5:$C$481,$C32)</f>
        <v>0</v>
      </c>
      <c r="K32" s="35">
        <f>SUMIFS('2025 FNDR'!T$5:T$481,'2025 FNDR'!$B$5:$B$481,$B$31,'2025 FNDR'!$C$5:$C$481,$C32)</f>
        <v>0</v>
      </c>
      <c r="L32" s="35">
        <f>SUMIFS('2025 FNDR'!U$4:U$347,'2025 FNDR'!$B$4:$B$347,$B$31,'2025 FNDR'!$C$4:$C$347,$C32)</f>
        <v>6958.0569999999998</v>
      </c>
      <c r="M32" s="35">
        <f>SUMIFS('2025 FNDR'!V$4:V$347,'2025 FNDR'!$B$4:$B$347,$B$31,'2025 FNDR'!$C$4:$C$347,$C32)</f>
        <v>0</v>
      </c>
      <c r="N32" s="35">
        <f>SUMIFS('2025 FNDR'!W$4:W$347,'2025 FNDR'!$B$4:$B$347,$B$31,'2025 FNDR'!$C$4:$C$347,$C32)</f>
        <v>0</v>
      </c>
      <c r="O32" s="155">
        <f>SUMIFS('2025 FNDR'!X$4:X$387,'2025 FNDR'!$B$4:$B$387,$B$31,'2025 FNDR'!$C$4:$C$387,$C32)</f>
        <v>0</v>
      </c>
      <c r="P32" s="35">
        <f>SUMIFS('2025 FNDR'!Y$4:Y$347,'2025 FNDR'!$B$4:$B$347,$B$31,'2025 FNDR'!$C$4:$C$347,$C32)</f>
        <v>0</v>
      </c>
      <c r="Q32" s="35">
        <f>SUMIFS('2025 FNDR'!Z$4:Z$347,'2025 FNDR'!$B$4:$B$347,$B$31,'2025 FNDR'!$C$4:$C$347,$C32)</f>
        <v>0</v>
      </c>
      <c r="R32" s="35">
        <f>SUMIFS('2025 FNDR'!AA$4:AA$347,'2025 FNDR'!$B$4:$B$347,$B$31,'2025 FNDR'!$C$4:$C$347,$C32)</f>
        <v>0</v>
      </c>
      <c r="S32" s="35">
        <f>SUMIFS('2025 FNDR'!AB$4:AB$447,'2025 FNDR'!$B$4:$B$447,$B$31,'2025 FNDR'!$C$4:$C$447,$C32)</f>
        <v>0</v>
      </c>
      <c r="T32" s="155">
        <f>SUMIFS(H32:S32,$H$3:$S$3,"EJECUTADO")</f>
        <v>6958.0569999999998</v>
      </c>
      <c r="U32" s="22">
        <f>+F32-T32</f>
        <v>1633703.943</v>
      </c>
    </row>
    <row r="33" spans="2:21" ht="13.5" customHeight="1">
      <c r="B33" s="125"/>
      <c r="C33" s="128" t="s">
        <v>30</v>
      </c>
      <c r="D33" s="282" t="s">
        <v>54</v>
      </c>
      <c r="E33" s="22">
        <v>0</v>
      </c>
      <c r="F33" s="22">
        <v>0</v>
      </c>
      <c r="G33" s="22">
        <f>SUMIFS('2025 FNDR'!$O$5:$O$458,'2025 FNDR'!$B$5:$B$458,'2025 RESUMEN'!$B$31,'2025 FNDR'!$C$5:$C$458,'2025 RESUMEN'!$C33)</f>
        <v>0</v>
      </c>
      <c r="H33" s="35">
        <f>SUMIFS('2025 FNDR'!Q$4:Q$195,'2025 FNDR'!$B$4:$B$195,$B$31,'2025 FNDR'!$C$4:$C$195,$C$33)</f>
        <v>0</v>
      </c>
      <c r="I33" s="35">
        <f>SUMIFS('2025 FNDR'!R$5:R$481,'2025 FNDR'!$B$5:$B$481,$B$31,'2025 FNDR'!$C$5:$C$481,$C$33)</f>
        <v>0</v>
      </c>
      <c r="J33" s="35">
        <f>SUMIFS('2025 FNDR'!S$5:S$481,'2025 FNDR'!$B$5:$B$481,$B$31,'2025 FNDR'!$C$5:$C$481,$C33)</f>
        <v>0</v>
      </c>
      <c r="K33" s="35">
        <f>SUMIFS('2025 FNDR'!T$5:T$481,'2025 FNDR'!$B$5:$B$481,$B$31,'2025 FNDR'!$C$5:$C$481,$C33)</f>
        <v>0</v>
      </c>
      <c r="L33" s="35">
        <f>SUMIFS('2025 FNDR'!U$4:U$347,'2025 FNDR'!$B$4:$B$347,$B$31,'2025 FNDR'!$C$4:$C$347,$C33)</f>
        <v>0</v>
      </c>
      <c r="M33" s="35">
        <f>SUMIFS('2025 FNDR'!V$4:V$347,'2025 FNDR'!$B$4:$B$347,$B$31,'2025 FNDR'!$C$4:$C$347,$C33)</f>
        <v>0</v>
      </c>
      <c r="N33" s="35">
        <f>SUMIFS('2025 FNDR'!W$4:W$347,'2025 FNDR'!$B$4:$B$347,$B$31,'2025 FNDR'!$C$4:$C$347,$C33)</f>
        <v>0</v>
      </c>
      <c r="O33" s="155">
        <f>SUMIFS('2025 FNDR'!X$4:X$387,'2025 FNDR'!$B$4:$B$387,$B$31,'2025 FNDR'!$C$4:$C$387,$C33)</f>
        <v>0</v>
      </c>
      <c r="P33" s="35">
        <f>SUMIFS('2025 FNDR'!Y$4:Y$347,'2025 FNDR'!$B$4:$B$347,$B$31,'2025 FNDR'!$C$4:$C$347,$C33)</f>
        <v>0</v>
      </c>
      <c r="Q33" s="35">
        <f>SUMIFS('2025 FNDR'!Z$4:Z$347,'2025 FNDR'!$B$4:$B$347,$B$31,'2025 FNDR'!$C$4:$C$347,$C33)</f>
        <v>0</v>
      </c>
      <c r="R33" s="35">
        <f>SUMIFS('2025 FNDR'!AA$4:AA$347,'2025 FNDR'!$B$4:$B$347,$B$31,'2025 FNDR'!$C$4:$C$347,$C33)</f>
        <v>0</v>
      </c>
      <c r="S33" s="35">
        <f>SUMIFS('2025 FNDR'!AB$4:AB$447,'2025 FNDR'!$B$4:$B$447,$B$31,'2025 FNDR'!$C$4:$C$447,$C33)</f>
        <v>0</v>
      </c>
      <c r="T33" s="155">
        <f>SUMIFS(H33:S33,$H$3:$S$3,"EJECUTADO")</f>
        <v>0</v>
      </c>
      <c r="U33" s="22">
        <f>+F33-T33</f>
        <v>0</v>
      </c>
    </row>
    <row r="34" spans="2:21" ht="13.5" customHeight="1">
      <c r="B34" s="125"/>
      <c r="C34" s="128" t="s">
        <v>27</v>
      </c>
      <c r="D34" s="282" t="s">
        <v>55</v>
      </c>
      <c r="E34" s="22">
        <v>34632997</v>
      </c>
      <c r="F34" s="22">
        <v>31494918</v>
      </c>
      <c r="G34" s="22">
        <f>SUMIFS('2025 FNDR'!$O$5:$O$458,'2025 FNDR'!$B$5:$B$458,'2025 RESUMEN'!$B$31,'2025 FNDR'!$C$5:$C$458,'2025 RESUMEN'!$C34)</f>
        <v>26362767</v>
      </c>
      <c r="H34" s="35">
        <f>SUMIFS('2025 FNDR'!Q$4:Q$195,'2025 FNDR'!$B$4:$B$195,$B$31,'2025 FNDR'!$C$4:$C$195,$C$34)</f>
        <v>0</v>
      </c>
      <c r="I34" s="35">
        <f>SUMIFS('2025 FNDR'!R$5:R$481,'2025 FNDR'!$B$5:$B$481,$B$31,'2025 FNDR'!$C$5:$C$481,$C$34)</f>
        <v>384347.42200000002</v>
      </c>
      <c r="J34" s="35">
        <f>SUMIFS('2025 FNDR'!S$5:S$481,'2025 FNDR'!$B$5:$B$481,$B$31,'2025 FNDR'!$C$5:$C$481,$C34)</f>
        <v>744746.81400000001</v>
      </c>
      <c r="K34" s="35">
        <f>SUMIFS('2025 FNDR'!T$5:T$481,'2025 FNDR'!$B$5:$B$481,$B$31,'2025 FNDR'!$C$5:$C$481,$C34)</f>
        <v>819448.26799999981</v>
      </c>
      <c r="L34" s="35">
        <f>SUMIFS('2025 FNDR'!U$5:U$481,'2025 FNDR'!$B$5:$B$481,$B$31,'2025 FNDR'!$C$5:$C$481,$C34)</f>
        <v>1061093.1770000001</v>
      </c>
      <c r="M34" s="35">
        <f>SUMIFS('2025 FNDR'!V$4:V$347,'2025 FNDR'!$B$4:$B$347,$B$31,'2025 FNDR'!$C$4:$C$347,$C34)</f>
        <v>835548.40899999999</v>
      </c>
      <c r="N34" s="35">
        <f>SUMIFS('2025 FNDR'!W$4:W$347,'2025 FNDR'!$B$4:$B$347,$B$31,'2025 FNDR'!$C$4:$C$347,$C34)</f>
        <v>0</v>
      </c>
      <c r="O34" s="155">
        <f>SUMIFS('2025 FNDR'!X$4:X$387,'2025 FNDR'!$B$4:$B$387,$B$31,'2025 FNDR'!$C$4:$C$387,$C34)</f>
        <v>0</v>
      </c>
      <c r="P34" s="35">
        <f>SUMIFS('2025 FNDR'!Y$4:Y$347,'2025 FNDR'!$B$4:$B$347,$B$31,'2025 FNDR'!$C$4:$C$347,$C34)</f>
        <v>0</v>
      </c>
      <c r="Q34" s="35">
        <f>SUMIFS('2025 FNDR'!Z$4:Z$347,'2025 FNDR'!$B$4:$B$347,$B$31,'2025 FNDR'!$C$4:$C$347,$C34)</f>
        <v>0</v>
      </c>
      <c r="R34" s="35">
        <f>SUMIFS('2025 FNDR'!AA$4:AA$435,'2025 FNDR'!$B$4:$B$435,$B$31,'2025 FNDR'!$C$4:$C$435,$C34)</f>
        <v>0</v>
      </c>
      <c r="S34" s="35">
        <f>SUMIFS('2025 FNDR'!AB$4:AB$447,'2025 FNDR'!$B$4:$B$447,$B$31,'2025 FNDR'!$C$4:$C$447,$C34)</f>
        <v>0</v>
      </c>
      <c r="T34" s="155">
        <f>SUMIFS(H34:S34,$H$3:$S$3,"EJECUTADO")</f>
        <v>3845184.09</v>
      </c>
      <c r="U34" s="22">
        <f>+F34-T34</f>
        <v>27649733.91</v>
      </c>
    </row>
    <row r="35" spans="2:21" ht="13.5" customHeight="1">
      <c r="B35" s="125"/>
      <c r="C35" s="128"/>
      <c r="D35" s="282"/>
      <c r="E35" s="22"/>
      <c r="F35" s="22"/>
      <c r="G35" s="22"/>
      <c r="H35" s="3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22"/>
    </row>
    <row r="36" spans="2:21" ht="13.5" customHeight="1">
      <c r="B36" s="134">
        <v>34</v>
      </c>
      <c r="C36" s="136"/>
      <c r="D36" s="280" t="s">
        <v>56</v>
      </c>
      <c r="E36" s="40">
        <f>+E37</f>
        <v>0</v>
      </c>
      <c r="F36" s="40">
        <f>+F37</f>
        <v>2782890</v>
      </c>
      <c r="G36" s="40">
        <f>+G37</f>
        <v>2782890</v>
      </c>
      <c r="H36" s="40">
        <f>+H37</f>
        <v>2782889.503</v>
      </c>
      <c r="I36" s="40">
        <f>+I37</f>
        <v>0</v>
      </c>
      <c r="J36" s="40">
        <f t="shared" ref="J36:S36" si="12">+J37</f>
        <v>0</v>
      </c>
      <c r="K36" s="40">
        <f t="shared" si="12"/>
        <v>0</v>
      </c>
      <c r="L36" s="40">
        <f t="shared" si="12"/>
        <v>0</v>
      </c>
      <c r="M36" s="40">
        <f t="shared" si="12"/>
        <v>0</v>
      </c>
      <c r="N36" s="40">
        <f t="shared" si="12"/>
        <v>0</v>
      </c>
      <c r="O36" s="38">
        <f t="shared" si="12"/>
        <v>0</v>
      </c>
      <c r="P36" s="40">
        <f t="shared" si="12"/>
        <v>0</v>
      </c>
      <c r="Q36" s="40">
        <f t="shared" si="12"/>
        <v>0</v>
      </c>
      <c r="R36" s="40">
        <f t="shared" si="12"/>
        <v>0</v>
      </c>
      <c r="S36" s="40">
        <f t="shared" si="12"/>
        <v>0</v>
      </c>
      <c r="T36" s="38">
        <f>SUMIFS(H36:S36,$H$3:$S$3,"EJECUTADO")</f>
        <v>2782889.503</v>
      </c>
      <c r="U36" s="20">
        <f>+F36-T36</f>
        <v>0.49699999997392297</v>
      </c>
    </row>
    <row r="37" spans="2:21" ht="13.5" customHeight="1">
      <c r="B37" s="125"/>
      <c r="C37" s="128" t="s">
        <v>43</v>
      </c>
      <c r="D37" s="282" t="s">
        <v>57</v>
      </c>
      <c r="E37" s="22">
        <v>0</v>
      </c>
      <c r="F37" s="22">
        <v>2782890</v>
      </c>
      <c r="G37" s="22">
        <f>+F37</f>
        <v>2782890</v>
      </c>
      <c r="H37" s="35">
        <f>SUMIFS('2025 FNDR'!Q$5:Q$481,'2025 FNDR'!$B$5:$B$481,$B$36,'2025 FNDR'!$C$5:$C$481,$C$37)</f>
        <v>2782889.503</v>
      </c>
      <c r="I37" s="155">
        <f>SUMIFS('2025 FNDR'!R$4:R$195,'2025 FNDR'!$B$4:$B$195,$B$36,'2025 FNDR'!$C$4:$C$195,$C$37)</f>
        <v>0</v>
      </c>
      <c r="J37" s="155">
        <f>SUMIFS('2025 FNDR'!S$4:S$195,'2025 FNDR'!$B$4:$B$195,$B$36,'2025 FNDR'!$C$4:$C$195,$C$37)</f>
        <v>0</v>
      </c>
      <c r="K37" s="155">
        <f>SUMIFS('2025 FNDR'!T$4:T$195,'2025 FNDR'!$B$4:$B$195,$B$36,'2025 FNDR'!$C$4:$C$195,$C$37)</f>
        <v>0</v>
      </c>
      <c r="L37" s="155">
        <f>SUMIFS('2025 FNDR'!U$4:U$195,'2025 FNDR'!$B$4:$B$195,$B$36,'2025 FNDR'!$C$4:$C$195,$C$37)</f>
        <v>0</v>
      </c>
      <c r="M37" s="155">
        <f>SUMIFS('2025 FNDR'!V$4:V$195,'2025 FNDR'!$B$4:$B$195,$B$36,'2025 FNDR'!$C$4:$C$195,$C$37)</f>
        <v>0</v>
      </c>
      <c r="N37" s="155">
        <f>SUMIFS('2025 FNDR'!W$4:W$195,'2025 FNDR'!$B$4:$B$195,$B$36,'2025 FNDR'!$C$4:$C$195,$C$37)</f>
        <v>0</v>
      </c>
      <c r="O37" s="155">
        <f>SUMIFS('2025 FNDR'!X$4:X$387,'2025 FNDR'!$B$4:$B$387,$B$36,'2025 FNDR'!$C$4:$C$387,$C$37)</f>
        <v>0</v>
      </c>
      <c r="P37" s="155">
        <f>SUMIFS('2025 FNDR'!Y$4:Y$195,'2025 FNDR'!$B$4:$B$195,$B$36,'2025 FNDR'!$C$4:$C$195,$C$37)</f>
        <v>0</v>
      </c>
      <c r="Q37" s="155">
        <f>SUMIFS('2025 FNDR'!Z$4:Z$195,'2025 FNDR'!$B$4:$B$195,$B$36,'2025 FNDR'!$C$4:$C$195,$C$37)</f>
        <v>0</v>
      </c>
      <c r="R37" s="155">
        <f>SUMIFS('2025 FNDR'!AA$4:AA$195,'2025 FNDR'!$B$4:$B$195,$B$36,'2025 FNDR'!$C$4:$C$195,$C$37)</f>
        <v>0</v>
      </c>
      <c r="S37" s="155">
        <f>SUMIFS('2025 FNDR'!AB$4:AB$195,'2025 FNDR'!$B$4:$B$195,$B$36,'2025 FNDR'!$C$4:$C$195,$C$37)</f>
        <v>0</v>
      </c>
      <c r="T37" s="158">
        <f>SUMIFS(H37:S37,$H$3:$S$3,"EJECUTADO")</f>
        <v>2782889.503</v>
      </c>
      <c r="U37" s="20"/>
    </row>
    <row r="38" spans="2:21" ht="13.5" customHeight="1">
      <c r="B38" s="125"/>
      <c r="C38" s="128"/>
      <c r="D38" s="282"/>
      <c r="E38" s="26"/>
      <c r="F38" s="26"/>
      <c r="G38" s="26"/>
      <c r="H38" s="37"/>
      <c r="I38" s="155"/>
      <c r="J38" s="155"/>
      <c r="K38" s="155"/>
      <c r="L38" s="155"/>
      <c r="M38" s="155"/>
      <c r="N38" s="155"/>
      <c r="O38" s="248"/>
      <c r="P38" s="155"/>
      <c r="Q38" s="155"/>
      <c r="R38" s="155"/>
      <c r="S38" s="155"/>
      <c r="T38" s="155"/>
      <c r="U38" s="22"/>
    </row>
    <row r="39" spans="2:21" ht="13.5" customHeight="1">
      <c r="B39" s="134">
        <v>35</v>
      </c>
      <c r="C39" s="136"/>
      <c r="D39" s="280" t="s">
        <v>58</v>
      </c>
      <c r="E39" s="40">
        <v>0</v>
      </c>
      <c r="F39" s="40">
        <f>+E39</f>
        <v>0</v>
      </c>
      <c r="G39" s="40"/>
      <c r="H39" s="40">
        <v>0</v>
      </c>
      <c r="I39" s="38">
        <v>0</v>
      </c>
      <c r="J39" s="38">
        <v>0</v>
      </c>
      <c r="K39" s="38"/>
      <c r="L39" s="38"/>
      <c r="M39" s="38"/>
      <c r="N39" s="38"/>
      <c r="O39" s="247"/>
      <c r="P39" s="38"/>
      <c r="Q39" s="38"/>
      <c r="R39" s="38"/>
      <c r="S39" s="38"/>
      <c r="T39" s="38">
        <f>SUMIFS(H39:S39,$H$3:$S$3,"EJECUTADO")</f>
        <v>0</v>
      </c>
      <c r="U39" s="20">
        <f>+F39-T39</f>
        <v>0</v>
      </c>
    </row>
    <row r="40" spans="2:21" ht="13.5" customHeight="1">
      <c r="B40" s="129"/>
      <c r="C40" s="130"/>
      <c r="D40" s="50" t="s">
        <v>59</v>
      </c>
      <c r="E40" s="41">
        <f>+E21+E26+E9+E31+E39+E36+E6+E11+E5</f>
        <v>98218095</v>
      </c>
      <c r="F40" s="41">
        <f>+F21+F26+F9+F31+F39+F36+F6+F11+F5</f>
        <v>100192354</v>
      </c>
      <c r="G40" s="41">
        <f>+G21+FG1535+G31+G39+G36+G6+G11+G5+G9+G26</f>
        <v>71443652.502000004</v>
      </c>
      <c r="H40" s="41">
        <f t="shared" ref="H40:S40" si="13">+H21+H26+H9+H31+H39+H36+H6+H11+H5</f>
        <v>2782889.503</v>
      </c>
      <c r="I40" s="41">
        <f t="shared" si="13"/>
        <v>2916644.8160000006</v>
      </c>
      <c r="J40" s="41">
        <f t="shared" si="13"/>
        <v>3569580.9029999999</v>
      </c>
      <c r="K40" s="41">
        <f t="shared" si="13"/>
        <v>2698482.8020000001</v>
      </c>
      <c r="L40" s="41">
        <f t="shared" si="13"/>
        <v>4332956.2029999997</v>
      </c>
      <c r="M40" s="41">
        <f t="shared" si="13"/>
        <v>2961260.6770000001</v>
      </c>
      <c r="N40" s="41">
        <f t="shared" si="13"/>
        <v>0</v>
      </c>
      <c r="O40" s="41">
        <f t="shared" si="13"/>
        <v>0</v>
      </c>
      <c r="P40" s="41">
        <f t="shared" si="13"/>
        <v>0</v>
      </c>
      <c r="Q40" s="41">
        <f t="shared" si="13"/>
        <v>0</v>
      </c>
      <c r="R40" s="41">
        <f t="shared" si="13"/>
        <v>0</v>
      </c>
      <c r="S40" s="41">
        <f t="shared" si="13"/>
        <v>0</v>
      </c>
      <c r="T40" s="310">
        <f>+T21+T26+T31+T39+T36+T6+T11+T5+T9</f>
        <v>19261814.903999999</v>
      </c>
      <c r="U40" s="41">
        <f>+U21+U26+U31+U39+U36+U6+U11+U5+U9</f>
        <v>80930539.096000001</v>
      </c>
    </row>
    <row r="41" spans="2:21" ht="16.5" customHeight="1">
      <c r="B41" s="48"/>
      <c r="C41" s="48"/>
      <c r="D41" s="59" t="s">
        <v>60</v>
      </c>
      <c r="E41" s="60">
        <f>+E5+E6+E11+E21+E31</f>
        <v>98218095</v>
      </c>
      <c r="F41" s="60">
        <f>+F5+F6+F9+F11+F21+F31</f>
        <v>97409464</v>
      </c>
      <c r="G41" s="60">
        <f>+G5+G6+G11+G21+G31</f>
        <v>67450766.502000004</v>
      </c>
      <c r="H41" s="43">
        <f t="shared" ref="H41:S41" si="14">+H5+H6+H9+H11+H21+H32+H34</f>
        <v>0</v>
      </c>
      <c r="I41" s="43">
        <f t="shared" si="14"/>
        <v>2916644.8160000006</v>
      </c>
      <c r="J41" s="43">
        <f t="shared" si="14"/>
        <v>3569580.9029999999</v>
      </c>
      <c r="K41" s="43">
        <f t="shared" si="14"/>
        <v>2698482.8019999997</v>
      </c>
      <c r="L41" s="43">
        <f t="shared" si="14"/>
        <v>4332956.2029999997</v>
      </c>
      <c r="M41" s="43">
        <f t="shared" si="14"/>
        <v>2961260.6770000001</v>
      </c>
      <c r="N41" s="43">
        <f t="shared" si="14"/>
        <v>0</v>
      </c>
      <c r="O41" s="43">
        <f t="shared" si="14"/>
        <v>0</v>
      </c>
      <c r="P41" s="43">
        <f t="shared" si="14"/>
        <v>0</v>
      </c>
      <c r="Q41" s="43">
        <f t="shared" si="14"/>
        <v>0</v>
      </c>
      <c r="R41" s="43">
        <f t="shared" si="14"/>
        <v>0</v>
      </c>
      <c r="S41" s="43">
        <f t="shared" si="14"/>
        <v>0</v>
      </c>
      <c r="T41" s="311">
        <f>+T5+T6+T11+T21+T32+T34+T9</f>
        <v>16478925.401000001</v>
      </c>
      <c r="U41" s="27">
        <f>+U5+U6+U11+U21+U9+U32+U34</f>
        <v>80930538.598999992</v>
      </c>
    </row>
    <row r="42" spans="2:21" ht="18.75" customHeight="1">
      <c r="B42" s="48"/>
      <c r="C42" s="48"/>
      <c r="D42" s="321" t="s">
        <v>61</v>
      </c>
      <c r="E42" s="321"/>
      <c r="F42" s="321"/>
      <c r="G42" s="321"/>
      <c r="H42" s="210">
        <f>+H40/$F$40</f>
        <v>2.7775467806655185E-2</v>
      </c>
      <c r="I42" s="210">
        <f t="shared" ref="I42:S42" si="15">+I40/$F$40</f>
        <v>2.9110453039161058E-2</v>
      </c>
      <c r="J42" s="210">
        <f t="shared" si="15"/>
        <v>3.5627278534647464E-2</v>
      </c>
      <c r="K42" s="210">
        <f t="shared" si="15"/>
        <v>2.6933021276254274E-2</v>
      </c>
      <c r="L42" s="210">
        <f t="shared" si="15"/>
        <v>4.3246375896108795E-2</v>
      </c>
      <c r="M42" s="210">
        <f t="shared" si="15"/>
        <v>2.9555755092848704E-2</v>
      </c>
      <c r="N42" s="210">
        <f t="shared" si="15"/>
        <v>0</v>
      </c>
      <c r="O42" s="210">
        <f t="shared" si="15"/>
        <v>0</v>
      </c>
      <c r="P42" s="210">
        <f t="shared" si="15"/>
        <v>0</v>
      </c>
      <c r="Q42" s="210">
        <f t="shared" si="15"/>
        <v>0</v>
      </c>
      <c r="R42" s="210">
        <f t="shared" si="15"/>
        <v>0</v>
      </c>
      <c r="S42" s="210">
        <f t="shared" si="15"/>
        <v>0</v>
      </c>
      <c r="T42" s="213">
        <f>(T40/F40)</f>
        <v>0.19224835164567547</v>
      </c>
      <c r="U42" s="29">
        <f>U40/F40</f>
        <v>0.80775164835432456</v>
      </c>
    </row>
    <row r="43" spans="2:21" ht="20.25" customHeight="1">
      <c r="B43" s="48"/>
      <c r="C43" s="48"/>
      <c r="D43" s="314" t="s">
        <v>62</v>
      </c>
      <c r="E43" s="314"/>
      <c r="F43" s="314"/>
      <c r="G43" s="314"/>
      <c r="H43" s="210">
        <f>+H41/$F$41</f>
        <v>0</v>
      </c>
      <c r="I43" s="210">
        <f t="shared" ref="I43:S43" si="16">+I41/$F$41</f>
        <v>2.9942109280059283E-2</v>
      </c>
      <c r="J43" s="210">
        <f t="shared" si="16"/>
        <v>3.6645113897762538E-2</v>
      </c>
      <c r="K43" s="210">
        <f t="shared" si="16"/>
        <v>2.7702470490957632E-2</v>
      </c>
      <c r="L43" s="210">
        <f t="shared" si="16"/>
        <v>4.4481881175323985E-2</v>
      </c>
      <c r="M43" s="210">
        <f t="shared" si="16"/>
        <v>3.0400133163652355E-2</v>
      </c>
      <c r="N43" s="210">
        <f t="shared" si="16"/>
        <v>0</v>
      </c>
      <c r="O43" s="210">
        <f t="shared" si="16"/>
        <v>0</v>
      </c>
      <c r="P43" s="210">
        <f t="shared" si="16"/>
        <v>0</v>
      </c>
      <c r="Q43" s="210">
        <f t="shared" si="16"/>
        <v>0</v>
      </c>
      <c r="R43" s="210">
        <f t="shared" si="16"/>
        <v>0</v>
      </c>
      <c r="S43" s="210">
        <f t="shared" si="16"/>
        <v>0</v>
      </c>
      <c r="T43" s="212">
        <f>+T41/F41</f>
        <v>0.1691717080077558</v>
      </c>
      <c r="U43" s="29">
        <f>U41/F41</f>
        <v>0.83082829199224417</v>
      </c>
    </row>
    <row r="44" spans="2:21" ht="13.5" hidden="1" customHeight="1">
      <c r="B44" s="48"/>
      <c r="C44" s="48"/>
      <c r="D44" s="51"/>
      <c r="E44" s="32"/>
      <c r="F44" s="28"/>
      <c r="O44" s="250"/>
      <c r="P44" s="250"/>
      <c r="Q44" s="250"/>
      <c r="R44" s="250"/>
      <c r="S44" s="253" t="s">
        <v>63</v>
      </c>
      <c r="T44" s="44">
        <f>(3/12)</f>
        <v>0.25</v>
      </c>
      <c r="U44" s="29">
        <f>1/12</f>
        <v>8.3333333333333329E-2</v>
      </c>
    </row>
    <row r="45" spans="2:21" ht="13.5" hidden="1" customHeight="1">
      <c r="B45" s="48"/>
      <c r="C45" s="48"/>
      <c r="D45" s="51"/>
      <c r="E45" s="32"/>
      <c r="F45" s="28"/>
      <c r="O45" s="250"/>
      <c r="P45" s="250"/>
      <c r="Q45" s="250"/>
      <c r="R45" s="250"/>
      <c r="S45" s="254" t="s">
        <v>64</v>
      </c>
      <c r="T45" s="206">
        <f>T42-T44</f>
        <v>-5.7751648354324531E-2</v>
      </c>
      <c r="U45" s="31"/>
    </row>
    <row r="46" spans="2:21" ht="13.5" hidden="1" customHeight="1">
      <c r="B46" s="48"/>
      <c r="C46" s="48"/>
      <c r="D46" s="51"/>
      <c r="E46" s="32"/>
      <c r="F46" s="28"/>
      <c r="O46" s="250"/>
      <c r="P46" s="250"/>
      <c r="Q46" s="250"/>
      <c r="R46" s="250"/>
      <c r="S46" s="254" t="s">
        <v>65</v>
      </c>
      <c r="T46" s="44">
        <f>+IF(+T45&gt;0,+T45,0)</f>
        <v>0</v>
      </c>
      <c r="U46" s="28"/>
    </row>
    <row r="47" spans="2:21" ht="13.5" hidden="1" customHeight="1">
      <c r="B47" s="48"/>
      <c r="C47" s="48"/>
      <c r="D47" s="51"/>
      <c r="E47" s="32"/>
      <c r="F47" s="28"/>
      <c r="O47" s="250"/>
      <c r="P47" s="250"/>
      <c r="Q47" s="250"/>
      <c r="R47" s="250"/>
      <c r="S47" s="254" t="s">
        <v>66</v>
      </c>
      <c r="T47" s="45">
        <f>+IF(+T45&gt;0,0,-T45)</f>
        <v>5.7751648354324531E-2</v>
      </c>
      <c r="U47" s="28"/>
    </row>
    <row r="48" spans="2:21" ht="13.5" hidden="1" customHeight="1">
      <c r="B48" s="48"/>
      <c r="C48" s="48"/>
      <c r="D48" s="51"/>
      <c r="E48" s="32"/>
      <c r="F48" s="28"/>
      <c r="O48" s="250"/>
      <c r="P48" s="250"/>
      <c r="Q48" s="250"/>
      <c r="R48" s="250"/>
      <c r="S48" s="254" t="s">
        <v>67</v>
      </c>
      <c r="T48" s="46">
        <f>+T47*F40</f>
        <v>5786273.5960000008</v>
      </c>
      <c r="U48" s="28"/>
    </row>
    <row r="49" spans="2:21" ht="13.5" customHeight="1">
      <c r="B49" s="48"/>
      <c r="C49" s="48"/>
      <c r="D49" s="51"/>
      <c r="E49" s="32"/>
      <c r="F49" s="28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4"/>
      <c r="T49" s="58"/>
      <c r="U49" s="28"/>
    </row>
    <row r="50" spans="2:21" ht="15.75" hidden="1" customHeight="1">
      <c r="B50" s="48"/>
      <c r="C50" s="48"/>
      <c r="D50" s="51"/>
      <c r="E50" s="32"/>
      <c r="F50" s="28"/>
      <c r="H50" s="34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58"/>
      <c r="U50" s="28"/>
    </row>
    <row r="51" spans="2:21" ht="15.75" hidden="1" customHeight="1">
      <c r="B51" s="48"/>
      <c r="C51" s="48"/>
      <c r="D51" s="51"/>
      <c r="E51" s="32"/>
      <c r="F51" s="28"/>
      <c r="H51" s="42" t="str">
        <f t="shared" ref="H51:S51" si="17">H3</f>
        <v>EJECUTADO</v>
      </c>
      <c r="I51" s="42" t="str">
        <f t="shared" si="17"/>
        <v>EJECUTADO</v>
      </c>
      <c r="J51" s="69" t="str">
        <f t="shared" si="17"/>
        <v>EJECUTADO</v>
      </c>
      <c r="K51" s="69" t="str">
        <f t="shared" si="17"/>
        <v>EJECUTADO</v>
      </c>
      <c r="L51" s="69" t="str">
        <f t="shared" si="17"/>
        <v>EJECUTADO</v>
      </c>
      <c r="M51" s="69" t="str">
        <f t="shared" si="17"/>
        <v>EJECUTADO</v>
      </c>
      <c r="N51" s="69" t="str">
        <f t="shared" si="17"/>
        <v>EJECUTADO</v>
      </c>
      <c r="O51" s="69" t="str">
        <f t="shared" si="17"/>
        <v>EJECUTADO</v>
      </c>
      <c r="P51" s="69" t="str">
        <f t="shared" si="17"/>
        <v>EJECUTADO</v>
      </c>
      <c r="Q51" s="69" t="str">
        <f t="shared" si="17"/>
        <v>EJECUTADO</v>
      </c>
      <c r="R51" s="69" t="str">
        <f t="shared" si="17"/>
        <v>EJECUTADO</v>
      </c>
      <c r="S51" s="69" t="str">
        <f t="shared" si="17"/>
        <v>EJECUTADO</v>
      </c>
      <c r="T51" s="58"/>
      <c r="U51" s="28"/>
    </row>
    <row r="52" spans="2:21" ht="15.75" hidden="1" customHeight="1">
      <c r="B52" s="48"/>
      <c r="C52" s="48"/>
      <c r="D52" s="59" t="s">
        <v>68</v>
      </c>
      <c r="E52" s="60">
        <f>E41</f>
        <v>98218095</v>
      </c>
      <c r="F52" s="28"/>
      <c r="H52" s="43">
        <f t="shared" ref="H52:S52" si="18">H41</f>
        <v>0</v>
      </c>
      <c r="I52" s="43">
        <f t="shared" si="18"/>
        <v>2916644.8160000006</v>
      </c>
      <c r="J52" s="43">
        <f t="shared" si="18"/>
        <v>3569580.9029999999</v>
      </c>
      <c r="K52" s="43">
        <f t="shared" si="18"/>
        <v>2698482.8019999997</v>
      </c>
      <c r="L52" s="43">
        <f t="shared" si="18"/>
        <v>4332956.2029999997</v>
      </c>
      <c r="M52" s="43">
        <f t="shared" si="18"/>
        <v>2961260.6770000001</v>
      </c>
      <c r="N52" s="43">
        <f t="shared" si="18"/>
        <v>0</v>
      </c>
      <c r="O52" s="43">
        <f t="shared" si="18"/>
        <v>0</v>
      </c>
      <c r="P52" s="43">
        <f t="shared" si="18"/>
        <v>0</v>
      </c>
      <c r="Q52" s="43">
        <f t="shared" si="18"/>
        <v>0</v>
      </c>
      <c r="R52" s="43">
        <f t="shared" si="18"/>
        <v>0</v>
      </c>
      <c r="S52" s="60">
        <f t="shared" si="18"/>
        <v>0</v>
      </c>
      <c r="T52" s="58"/>
      <c r="U52" s="28"/>
    </row>
    <row r="53" spans="2:21" ht="15.75" hidden="1" customHeight="1">
      <c r="B53" s="48"/>
      <c r="C53" s="48"/>
      <c r="D53" s="61" t="s">
        <v>69</v>
      </c>
      <c r="E53" s="62"/>
      <c r="F53" s="28"/>
      <c r="H53" s="63">
        <f>H52</f>
        <v>0</v>
      </c>
      <c r="I53" s="63">
        <f>I52</f>
        <v>2916644.8160000006</v>
      </c>
      <c r="J53" s="63">
        <f t="shared" ref="J53:Q53" si="19">I53+J52</f>
        <v>6486225.7190000005</v>
      </c>
      <c r="K53" s="63">
        <f t="shared" si="19"/>
        <v>9184708.5209999997</v>
      </c>
      <c r="L53" s="63">
        <f t="shared" si="19"/>
        <v>13517664.723999999</v>
      </c>
      <c r="M53" s="63">
        <f>L53+M52</f>
        <v>16478925.401000001</v>
      </c>
      <c r="N53" s="63">
        <f t="shared" si="19"/>
        <v>16478925.401000001</v>
      </c>
      <c r="O53" s="63">
        <f t="shared" si="19"/>
        <v>16478925.401000001</v>
      </c>
      <c r="P53" s="63">
        <f>O53+P52</f>
        <v>16478925.401000001</v>
      </c>
      <c r="Q53" s="63">
        <f t="shared" si="19"/>
        <v>16478925.401000001</v>
      </c>
      <c r="R53" s="63">
        <f>Q53+R52</f>
        <v>16478925.401000001</v>
      </c>
      <c r="S53" s="62">
        <f>R53+S52</f>
        <v>16478925.401000001</v>
      </c>
      <c r="T53" s="58"/>
      <c r="U53" s="28"/>
    </row>
    <row r="54" spans="2:21" ht="15.75" hidden="1" customHeight="1">
      <c r="F54" s="28"/>
      <c r="U54" s="28"/>
    </row>
    <row r="55" spans="2:21" ht="23.25" customHeight="1">
      <c r="F55" s="28"/>
      <c r="H55" s="76" t="s">
        <v>70</v>
      </c>
      <c r="T55" s="28"/>
      <c r="U55" s="28"/>
    </row>
    <row r="56" spans="2:21" ht="15.75" customHeight="1">
      <c r="F56" s="28"/>
      <c r="H56" s="42" t="str">
        <f t="shared" ref="H56:S56" si="20">H3</f>
        <v>EJECUTADO</v>
      </c>
      <c r="I56" s="42" t="str">
        <f t="shared" si="20"/>
        <v>EJECUTADO</v>
      </c>
      <c r="J56" s="42" t="str">
        <f t="shared" si="20"/>
        <v>EJECUTADO</v>
      </c>
      <c r="K56" s="42" t="str">
        <f t="shared" si="20"/>
        <v>EJECUTADO</v>
      </c>
      <c r="L56" s="42" t="str">
        <f t="shared" si="20"/>
        <v>EJECUTADO</v>
      </c>
      <c r="M56" s="42" t="str">
        <f t="shared" si="20"/>
        <v>EJECUTADO</v>
      </c>
      <c r="N56" s="42" t="str">
        <f t="shared" si="20"/>
        <v>EJECUTADO</v>
      </c>
      <c r="O56" s="42" t="str">
        <f t="shared" si="20"/>
        <v>EJECUTADO</v>
      </c>
      <c r="P56" s="42" t="str">
        <f t="shared" si="20"/>
        <v>EJECUTADO</v>
      </c>
      <c r="Q56" s="42" t="str">
        <f t="shared" si="20"/>
        <v>EJECUTADO</v>
      </c>
      <c r="R56" s="42" t="str">
        <f t="shared" si="20"/>
        <v>EJECUTADO</v>
      </c>
      <c r="S56" s="42" t="str">
        <f t="shared" si="20"/>
        <v>EJECUTADO</v>
      </c>
      <c r="T56" s="28"/>
      <c r="U56" s="28"/>
    </row>
    <row r="57" spans="2:21" ht="15.75" customHeight="1">
      <c r="F57" s="251"/>
      <c r="G57" s="252" t="s">
        <v>6</v>
      </c>
      <c r="H57" s="33" t="s">
        <v>10</v>
      </c>
      <c r="I57" s="33" t="s">
        <v>11</v>
      </c>
      <c r="J57" s="33" t="s">
        <v>12</v>
      </c>
      <c r="K57" s="33" t="s">
        <v>13</v>
      </c>
      <c r="L57" s="33" t="s">
        <v>14</v>
      </c>
      <c r="M57" s="33" t="s">
        <v>15</v>
      </c>
      <c r="N57" s="33" t="s">
        <v>16</v>
      </c>
      <c r="O57" s="33" t="s">
        <v>17</v>
      </c>
      <c r="P57" s="33" t="s">
        <v>18</v>
      </c>
      <c r="Q57" s="33" t="s">
        <v>19</v>
      </c>
      <c r="R57" s="33" t="s">
        <v>20</v>
      </c>
      <c r="S57" s="33" t="s">
        <v>21</v>
      </c>
      <c r="T57" s="77" t="s">
        <v>71</v>
      </c>
      <c r="U57" s="28"/>
    </row>
    <row r="58" spans="2:21" ht="15.75" customHeight="1">
      <c r="F58" s="251"/>
      <c r="G58" s="255" t="s">
        <v>47</v>
      </c>
      <c r="H58" s="54">
        <f t="shared" ref="H58:S58" si="21">H21</f>
        <v>0</v>
      </c>
      <c r="I58" s="54">
        <f t="shared" si="21"/>
        <v>0</v>
      </c>
      <c r="J58" s="54">
        <f t="shared" si="21"/>
        <v>1567396.095</v>
      </c>
      <c r="K58" s="54">
        <f t="shared" si="21"/>
        <v>441930.89200000005</v>
      </c>
      <c r="L58" s="54">
        <f t="shared" si="21"/>
        <v>461615.16799999995</v>
      </c>
      <c r="M58" s="54">
        <f t="shared" si="21"/>
        <v>752774.26399999997</v>
      </c>
      <c r="N58" s="54">
        <f t="shared" si="21"/>
        <v>0</v>
      </c>
      <c r="O58" s="54">
        <f t="shared" si="21"/>
        <v>0</v>
      </c>
      <c r="P58" s="54">
        <f t="shared" si="21"/>
        <v>0</v>
      </c>
      <c r="Q58" s="54">
        <f t="shared" si="21"/>
        <v>0</v>
      </c>
      <c r="R58" s="54">
        <f t="shared" si="21"/>
        <v>0</v>
      </c>
      <c r="S58" s="54">
        <f t="shared" si="21"/>
        <v>0</v>
      </c>
      <c r="T58" s="53">
        <f>SUM(H58:S58)</f>
        <v>3223716.4189999998</v>
      </c>
      <c r="U58" s="28"/>
    </row>
    <row r="59" spans="2:21" ht="15.75" customHeight="1">
      <c r="F59" s="251"/>
      <c r="G59" s="255" t="s">
        <v>32</v>
      </c>
      <c r="H59" s="55">
        <f t="shared" ref="H59:S59" si="22">H11</f>
        <v>0</v>
      </c>
      <c r="I59" s="55">
        <f t="shared" si="22"/>
        <v>0</v>
      </c>
      <c r="J59" s="55">
        <f t="shared" si="22"/>
        <v>186247.26</v>
      </c>
      <c r="K59" s="55">
        <f t="shared" si="22"/>
        <v>671703.81400000001</v>
      </c>
      <c r="L59" s="55">
        <f t="shared" si="22"/>
        <v>2227955.0729999999</v>
      </c>
      <c r="M59" s="55">
        <f t="shared" si="22"/>
        <v>0</v>
      </c>
      <c r="N59" s="55">
        <f t="shared" si="22"/>
        <v>0</v>
      </c>
      <c r="O59" s="55">
        <f t="shared" si="22"/>
        <v>0</v>
      </c>
      <c r="P59" s="55">
        <f t="shared" si="22"/>
        <v>0</v>
      </c>
      <c r="Q59" s="55">
        <f t="shared" si="22"/>
        <v>0</v>
      </c>
      <c r="R59" s="55">
        <f t="shared" si="22"/>
        <v>0</v>
      </c>
      <c r="S59" s="55">
        <f t="shared" si="22"/>
        <v>0</v>
      </c>
      <c r="T59" s="53">
        <f t="shared" ref="T59:T65" si="23">SUM(H59:S59)</f>
        <v>3085906.1469999999</v>
      </c>
      <c r="U59" s="28"/>
    </row>
    <row r="60" spans="2:21" ht="15.75" customHeight="1">
      <c r="F60" s="251"/>
      <c r="G60" s="255" t="s">
        <v>53</v>
      </c>
      <c r="H60" s="54">
        <f t="shared" ref="H60:S60" si="24">H31</f>
        <v>0</v>
      </c>
      <c r="I60" s="54">
        <f t="shared" si="24"/>
        <v>384347.42200000002</v>
      </c>
      <c r="J60" s="54">
        <f t="shared" si="24"/>
        <v>744746.81400000001</v>
      </c>
      <c r="K60" s="54">
        <f t="shared" si="24"/>
        <v>819448.26799999981</v>
      </c>
      <c r="L60" s="54">
        <f t="shared" si="24"/>
        <v>1068051.2340000002</v>
      </c>
      <c r="M60" s="54">
        <f t="shared" si="24"/>
        <v>835548.40899999999</v>
      </c>
      <c r="N60" s="54">
        <f t="shared" si="24"/>
        <v>0</v>
      </c>
      <c r="O60" s="54">
        <f t="shared" si="24"/>
        <v>0</v>
      </c>
      <c r="P60" s="54">
        <f t="shared" si="24"/>
        <v>0</v>
      </c>
      <c r="Q60" s="54">
        <f t="shared" si="24"/>
        <v>0</v>
      </c>
      <c r="R60" s="54">
        <f t="shared" si="24"/>
        <v>0</v>
      </c>
      <c r="S60" s="54">
        <f t="shared" si="24"/>
        <v>0</v>
      </c>
      <c r="T60" s="53">
        <f t="shared" si="23"/>
        <v>3852142.1469999999</v>
      </c>
      <c r="U60" s="28"/>
    </row>
    <row r="61" spans="2:21" ht="15.75" customHeight="1">
      <c r="F61" s="317" t="s">
        <v>29</v>
      </c>
      <c r="G61" s="318"/>
      <c r="H61" s="54">
        <f t="shared" ref="H61:S61" si="25">H9</f>
        <v>0</v>
      </c>
      <c r="I61" s="54">
        <f t="shared" si="25"/>
        <v>0</v>
      </c>
      <c r="J61" s="54">
        <f t="shared" si="25"/>
        <v>0</v>
      </c>
      <c r="K61" s="54">
        <f t="shared" si="25"/>
        <v>0</v>
      </c>
      <c r="L61" s="54">
        <f t="shared" si="25"/>
        <v>9996</v>
      </c>
      <c r="M61" s="54">
        <f t="shared" si="25"/>
        <v>63743.588000000003</v>
      </c>
      <c r="N61" s="54">
        <f t="shared" si="25"/>
        <v>0</v>
      </c>
      <c r="O61" s="54">
        <f t="shared" si="25"/>
        <v>0</v>
      </c>
      <c r="P61" s="54">
        <f t="shared" si="25"/>
        <v>0</v>
      </c>
      <c r="Q61" s="54">
        <f t="shared" si="25"/>
        <v>0</v>
      </c>
      <c r="R61" s="54">
        <f t="shared" si="25"/>
        <v>0</v>
      </c>
      <c r="S61" s="54">
        <f t="shared" si="25"/>
        <v>0</v>
      </c>
      <c r="T61" s="53">
        <f t="shared" si="23"/>
        <v>73739.588000000003</v>
      </c>
      <c r="U61" s="28"/>
    </row>
    <row r="62" spans="2:21" ht="15.75" customHeight="1">
      <c r="F62" s="251"/>
      <c r="G62" s="255" t="s">
        <v>24</v>
      </c>
      <c r="H62" s="55">
        <f t="shared" ref="H62:S62" si="26">H6</f>
        <v>0</v>
      </c>
      <c r="I62" s="55">
        <f t="shared" si="26"/>
        <v>2532297.3940000003</v>
      </c>
      <c r="J62" s="55">
        <f t="shared" si="26"/>
        <v>1071190.7339999999</v>
      </c>
      <c r="K62" s="55">
        <f t="shared" si="26"/>
        <v>765399.82799999998</v>
      </c>
      <c r="L62" s="55">
        <f t="shared" si="26"/>
        <v>565338.728</v>
      </c>
      <c r="M62" s="55">
        <f t="shared" si="26"/>
        <v>1309194.416</v>
      </c>
      <c r="N62" s="55">
        <f t="shared" si="26"/>
        <v>0</v>
      </c>
      <c r="O62" s="55">
        <f t="shared" si="26"/>
        <v>0</v>
      </c>
      <c r="P62" s="55">
        <f t="shared" si="26"/>
        <v>0</v>
      </c>
      <c r="Q62" s="55">
        <f t="shared" si="26"/>
        <v>0</v>
      </c>
      <c r="R62" s="55">
        <f t="shared" si="26"/>
        <v>0</v>
      </c>
      <c r="S62" s="55">
        <f t="shared" si="26"/>
        <v>0</v>
      </c>
      <c r="T62" s="53">
        <f t="shared" si="23"/>
        <v>6243421.1000000006</v>
      </c>
      <c r="U62" s="28"/>
    </row>
    <row r="63" spans="2:21" ht="15.75" customHeight="1">
      <c r="F63" s="251"/>
      <c r="G63" s="255" t="s">
        <v>23</v>
      </c>
      <c r="H63" s="54">
        <f t="shared" ref="H63:S63" si="27">H5</f>
        <v>0</v>
      </c>
      <c r="I63" s="54">
        <f t="shared" si="27"/>
        <v>0</v>
      </c>
      <c r="J63" s="54">
        <f t="shared" si="27"/>
        <v>0</v>
      </c>
      <c r="K63" s="54">
        <f t="shared" si="27"/>
        <v>0</v>
      </c>
      <c r="L63" s="54">
        <f t="shared" si="27"/>
        <v>0</v>
      </c>
      <c r="M63" s="54">
        <f t="shared" si="27"/>
        <v>0</v>
      </c>
      <c r="N63" s="54">
        <f t="shared" si="27"/>
        <v>0</v>
      </c>
      <c r="O63" s="54">
        <f t="shared" si="27"/>
        <v>0</v>
      </c>
      <c r="P63" s="54">
        <f t="shared" si="27"/>
        <v>0</v>
      </c>
      <c r="Q63" s="54">
        <f t="shared" si="27"/>
        <v>0</v>
      </c>
      <c r="R63" s="54">
        <f t="shared" si="27"/>
        <v>0</v>
      </c>
      <c r="S63" s="54">
        <f t="shared" si="27"/>
        <v>0</v>
      </c>
      <c r="T63" s="53">
        <f t="shared" si="23"/>
        <v>0</v>
      </c>
      <c r="U63" s="28"/>
    </row>
    <row r="64" spans="2:21" ht="15.75" customHeight="1">
      <c r="F64" s="317" t="s">
        <v>72</v>
      </c>
      <c r="G64" s="318"/>
      <c r="H64" s="54">
        <f t="shared" ref="H64:S64" si="28">+H36</f>
        <v>2782889.503</v>
      </c>
      <c r="I64" s="54">
        <f t="shared" si="28"/>
        <v>0</v>
      </c>
      <c r="J64" s="54">
        <f t="shared" si="28"/>
        <v>0</v>
      </c>
      <c r="K64" s="54">
        <f t="shared" si="28"/>
        <v>0</v>
      </c>
      <c r="L64" s="54">
        <f t="shared" si="28"/>
        <v>0</v>
      </c>
      <c r="M64" s="54">
        <f t="shared" si="28"/>
        <v>0</v>
      </c>
      <c r="N64" s="54">
        <f t="shared" si="28"/>
        <v>0</v>
      </c>
      <c r="O64" s="54">
        <f t="shared" si="28"/>
        <v>0</v>
      </c>
      <c r="P64" s="54">
        <f t="shared" si="28"/>
        <v>0</v>
      </c>
      <c r="Q64" s="54">
        <f t="shared" si="28"/>
        <v>0</v>
      </c>
      <c r="R64" s="54">
        <f t="shared" si="28"/>
        <v>0</v>
      </c>
      <c r="S64" s="54">
        <f t="shared" si="28"/>
        <v>0</v>
      </c>
      <c r="T64" s="53">
        <f t="shared" si="23"/>
        <v>2782889.503</v>
      </c>
      <c r="U64" s="28"/>
    </row>
    <row r="65" spans="4:23" ht="15.75" customHeight="1">
      <c r="F65" s="312"/>
      <c r="G65" s="312" t="s">
        <v>73</v>
      </c>
      <c r="H65" s="53">
        <f>SUM(H58:H64)</f>
        <v>2782889.503</v>
      </c>
      <c r="I65" s="53">
        <f t="shared" ref="I65:S65" si="29">SUM(I58:I64)</f>
        <v>2916644.8160000006</v>
      </c>
      <c r="J65" s="53">
        <f t="shared" si="29"/>
        <v>3569580.9029999999</v>
      </c>
      <c r="K65" s="53">
        <f t="shared" si="29"/>
        <v>2698482.8020000001</v>
      </c>
      <c r="L65" s="53">
        <f t="shared" si="29"/>
        <v>4332956.2029999997</v>
      </c>
      <c r="M65" s="53">
        <f t="shared" si="29"/>
        <v>2961260.6770000001</v>
      </c>
      <c r="N65" s="53">
        <f t="shared" si="29"/>
        <v>0</v>
      </c>
      <c r="O65" s="53">
        <f t="shared" si="29"/>
        <v>0</v>
      </c>
      <c r="P65" s="53">
        <f t="shared" si="29"/>
        <v>0</v>
      </c>
      <c r="Q65" s="53">
        <f t="shared" si="29"/>
        <v>0</v>
      </c>
      <c r="R65" s="53">
        <f t="shared" si="29"/>
        <v>0</v>
      </c>
      <c r="S65" s="53">
        <f t="shared" si="29"/>
        <v>0</v>
      </c>
      <c r="T65" s="53">
        <f t="shared" si="23"/>
        <v>19261814.903999999</v>
      </c>
      <c r="U65" s="28"/>
    </row>
    <row r="66" spans="4:23" ht="19.5" customHeight="1">
      <c r="F66" s="251"/>
      <c r="G66" s="319" t="s">
        <v>74</v>
      </c>
      <c r="H66" s="319"/>
      <c r="I66" s="319"/>
      <c r="J66" s="319"/>
      <c r="K66" s="319"/>
      <c r="L66" s="319"/>
    </row>
    <row r="67" spans="4:23" ht="18" customHeight="1">
      <c r="H67" s="52"/>
    </row>
    <row r="68" spans="4:23" ht="23.25" customHeight="1">
      <c r="D68" s="76" t="s">
        <v>75</v>
      </c>
      <c r="H68" s="76" t="s">
        <v>76</v>
      </c>
      <c r="N68" s="67"/>
      <c r="O68" s="67"/>
      <c r="P68" s="67"/>
      <c r="Q68" s="67"/>
      <c r="V68" s="76" t="s">
        <v>77</v>
      </c>
    </row>
    <row r="69" spans="4:23" ht="16.5" customHeight="1">
      <c r="D69" s="66"/>
      <c r="E69" s="66"/>
      <c r="H69" s="69" t="str">
        <f t="shared" ref="H69:S69" si="30">H3</f>
        <v>EJECUTADO</v>
      </c>
      <c r="I69" s="69" t="str">
        <f t="shared" si="30"/>
        <v>EJECUTADO</v>
      </c>
      <c r="J69" s="69" t="str">
        <f t="shared" si="30"/>
        <v>EJECUTADO</v>
      </c>
      <c r="K69" s="69" t="str">
        <f t="shared" si="30"/>
        <v>EJECUTADO</v>
      </c>
      <c r="L69" s="69" t="str">
        <f t="shared" si="30"/>
        <v>EJECUTADO</v>
      </c>
      <c r="M69" s="69" t="str">
        <f t="shared" si="30"/>
        <v>EJECUTADO</v>
      </c>
      <c r="N69" s="69" t="str">
        <f t="shared" si="30"/>
        <v>EJECUTADO</v>
      </c>
      <c r="O69" s="69" t="str">
        <f t="shared" si="30"/>
        <v>EJECUTADO</v>
      </c>
      <c r="P69" s="69" t="str">
        <f t="shared" si="30"/>
        <v>EJECUTADO</v>
      </c>
      <c r="Q69" s="69" t="str">
        <f t="shared" si="30"/>
        <v>EJECUTADO</v>
      </c>
      <c r="R69" s="69" t="str">
        <f t="shared" si="30"/>
        <v>EJECUTADO</v>
      </c>
      <c r="S69" s="69" t="str">
        <f t="shared" si="30"/>
        <v>EJECUTADO</v>
      </c>
      <c r="T69" s="69" t="s">
        <v>78</v>
      </c>
      <c r="V69" s="66"/>
      <c r="W69" s="66"/>
    </row>
    <row r="70" spans="4:23" ht="18" customHeight="1">
      <c r="D70" s="290" t="s">
        <v>79</v>
      </c>
      <c r="E70" s="291" t="s">
        <v>80</v>
      </c>
      <c r="H70" s="137">
        <v>45658</v>
      </c>
      <c r="I70" s="137">
        <v>45689</v>
      </c>
      <c r="J70" s="137">
        <v>45717</v>
      </c>
      <c r="K70" s="137">
        <v>45748</v>
      </c>
      <c r="L70" s="137">
        <v>45778</v>
      </c>
      <c r="M70" s="137">
        <v>45809</v>
      </c>
      <c r="N70" s="137">
        <v>45839</v>
      </c>
      <c r="O70" s="137">
        <v>45870</v>
      </c>
      <c r="P70" s="137">
        <v>45901</v>
      </c>
      <c r="Q70" s="137">
        <v>45931</v>
      </c>
      <c r="R70" s="137">
        <v>45962</v>
      </c>
      <c r="S70" s="137">
        <v>45992</v>
      </c>
      <c r="T70" s="97">
        <v>2025</v>
      </c>
      <c r="V70" s="68" t="s">
        <v>79</v>
      </c>
      <c r="W70" s="96" t="s">
        <v>81</v>
      </c>
    </row>
    <row r="71" spans="4:23" ht="18" customHeight="1">
      <c r="D71" s="292" t="s">
        <v>82</v>
      </c>
      <c r="E71" s="293">
        <v>353100</v>
      </c>
      <c r="H71" s="88">
        <f>SUMIFS('2025 FNDR'!$Q$4:$Q$356,'2025 FNDR'!$G$4:$G$356,'2025 RESUMEN'!D71)</f>
        <v>0</v>
      </c>
      <c r="I71" s="88">
        <f>SUMIFS('2025 FNDR'!$R$5:$R$484,'2025 FNDR'!$G$5:$G$484,'2025 RESUMEN'!D71)+SUMIFS('FRIL 2025'!$J$3:$J$52,'FRIL 2025'!$G$3:$G$52,'2025 RESUMEN'!$D71)</f>
        <v>84534.445000000007</v>
      </c>
      <c r="J71" s="88">
        <f>SUMIFS('2025 FNDR'!$S$5:$S$484,'2025 FNDR'!$G$5:$G$484,'2025 RESUMEN'!D71)+SUMIFS('FRIL 2025'!$K$3:$K$52,'FRIL 2025'!$G$3:$G$52,'2025 RESUMEN'!$D71)</f>
        <v>16423.352999999999</v>
      </c>
      <c r="K71" s="88">
        <f>SUMIFS('2025 FNDR'!$T$4:$T$356,'2025 FNDR'!$G$4:$G$356,'2025 RESUMEN'!D71)+SUMIFS('FRIL 2025'!$L$3:$L$53,'FRIL 2025'!$G$3:$G$53,'2025 RESUMEN'!$D71)</f>
        <v>28485.707999999999</v>
      </c>
      <c r="L71" s="88">
        <f>SUMIFS('2025 FNDR'!$U$4:$U$481,'2025 FNDR'!$G$4:$G$481,'2025 RESUMEN'!D71)+SUMIFS('FRIL 2025'!$M$3:$M$53,'FRIL 2025'!$G$3:$G$53,'2025 RESUMEN'!$D71)</f>
        <v>0</v>
      </c>
      <c r="M71" s="121">
        <f>SUMIFS('2025 FNDR'!$V$4:$V$500,'2025 FNDR'!$G$4:$G$500,'2025 RESUMEN'!D71)+SUMIFS('FRIL 2025'!$N$3:$N$51,'FRIL 2025'!$G$3:$G$51,'2025 RESUMEN'!$D71)</f>
        <v>139996.12899999999</v>
      </c>
      <c r="N71" s="121">
        <f>SUMIFS('2025 FNDR'!$W$4:$W$356,'2025 FNDR'!$G$4:$G$356,'2025 RESUMEN'!D71)+SUMIFS('FRIL 2025'!$O$3:$O$31,'FRIL 2025'!$G$3:$G$31,'2025 RESUMEN'!$D71)</f>
        <v>0</v>
      </c>
      <c r="O71" s="121">
        <f>SUMIFS('2025 FNDR'!$X$4:$X$387,'2025 FNDR'!$G$4:$G$387,'2025 RESUMEN'!D71)+SUMIFS('FRIL 2025'!$P$3:$P$32,'FRIL 2025'!$G$3:$G$32,'2025 RESUMEN'!$D71)</f>
        <v>0</v>
      </c>
      <c r="P71" s="121">
        <f>SUMIFS('2025 FNDR'!$Y$4:$Y$356,'2025 FNDR'!$G$4:$G$356,'2025 RESUMEN'!D71)+SUMIFS('FRIL 2025'!$Q$3:$Q$33,'FRIL 2025'!$G$3:$G$33,'2025 RESUMEN'!$D71)</f>
        <v>0</v>
      </c>
      <c r="Q71" s="121">
        <f>SUMIFS('2025 FNDR'!$Z$4:$Z$420,'2025 FNDR'!$G$4:$G$420,'2025 RESUMEN'!D71)+SUMIFS('FRIL 2025'!$R$3:$R$34,'FRIL 2025'!$G$3:$G$34,'2025 RESUMEN'!$D71)</f>
        <v>0</v>
      </c>
      <c r="R71" s="121">
        <f>SUMIFS('2025 FNDR'!$AA$4:$AA$435,'2025 FNDR'!$G$4:$G$435,'2025 RESUMEN'!D71)+SUMIFS('FRIL 2025'!$S$3:$S$36,'FRIL 2025'!$G$3:$G$36,'2025 RESUMEN'!$D71)</f>
        <v>0</v>
      </c>
      <c r="S71" s="121">
        <f>SUMIFS('2025 FNDR'!$AB$5:$AB$447,'2025 FNDR'!$G$5:$G$447,'2025 RESUMEN'!D71)+SUMIFS('FRIL 2025'!$T$3:$T$37,'FRIL 2025'!$G$3:$G$37,'2025 RESUMEN'!D71)</f>
        <v>0</v>
      </c>
      <c r="T71" s="72">
        <f t="shared" ref="T71:T77" si="31">SUMIFS(H71:S71,$H$69:$S$69,"ejecutado")</f>
        <v>269439.63500000001</v>
      </c>
      <c r="V71" s="71" t="s">
        <v>82</v>
      </c>
      <c r="W71" s="91">
        <f>T71</f>
        <v>269439.63500000001</v>
      </c>
    </row>
    <row r="72" spans="4:23" ht="18" customHeight="1">
      <c r="D72" s="292" t="s">
        <v>83</v>
      </c>
      <c r="E72" s="293">
        <v>665523</v>
      </c>
      <c r="H72" s="88">
        <f>SUMIFS('2025 FNDR'!$Q$4:$Q$356,'2025 FNDR'!$G$4:$G$356,'2025 RESUMEN'!D72)</f>
        <v>0</v>
      </c>
      <c r="I72" s="88">
        <f>SUMIFS('2025 FNDR'!$R$5:$R$484,'2025 FNDR'!$G$5:$G$484,'2025 RESUMEN'!D72)+SUMIFS('FRIL 2025'!$J$3:$J$52,'FRIL 2025'!$G$3:$G$52,'2025 RESUMEN'!$D72)</f>
        <v>0</v>
      </c>
      <c r="J72" s="88">
        <f>SUMIFS('2025 FNDR'!$S$5:$S$484,'2025 FNDR'!$G$5:$G$484,'2025 RESUMEN'!D72)+SUMIFS('FRIL 2025'!$K$3:$K$52,'FRIL 2025'!$G$3:$G$52,'2025 RESUMEN'!$D72)</f>
        <v>0</v>
      </c>
      <c r="K72" s="88">
        <f>SUMIFS('2025 FNDR'!$T$4:$T$356,'2025 FNDR'!$G$4:$G$356,'2025 RESUMEN'!D72)+SUMIFS('FRIL 2025'!$L$3:$L$53,'FRIL 2025'!$G$3:$G$53,'2025 RESUMEN'!$D72)</f>
        <v>207667.28200000001</v>
      </c>
      <c r="L72" s="88">
        <f>SUMIFS('2025 FNDR'!$U$4:$U$481,'2025 FNDR'!$G$4:$G$481,'2025 RESUMEN'!D72)+SUMIFS('FRIL 2025'!$M$3:$M$53,'FRIL 2025'!$G$3:$G$53,'2025 RESUMEN'!$D72)</f>
        <v>197506.872</v>
      </c>
      <c r="M72" s="121">
        <f>SUMIFS('2025 FNDR'!$V$4:$V$500,'2025 FNDR'!$G$4:$G$500,'2025 RESUMEN'!D72)+SUMIFS('FRIL 2025'!$N$3:$N$51,'FRIL 2025'!$G$3:$G$51,'2025 RESUMEN'!$D72)</f>
        <v>34508.357000000004</v>
      </c>
      <c r="N72" s="121">
        <f>SUMIFS('2025 FNDR'!$W$4:$W$356,'2025 FNDR'!$G$4:$G$356,'2025 RESUMEN'!D72)+SUMIFS('FRIL 2025'!$O$3:$O$31,'FRIL 2025'!$G$3:$G$31,'2025 RESUMEN'!$D72)</f>
        <v>0</v>
      </c>
      <c r="O72" s="121">
        <f>SUMIFS('2025 FNDR'!$X$4:$X$387,'2025 FNDR'!$G$4:$G$387,'2025 RESUMEN'!D72)+SUMIFS('FRIL 2025'!$P$3:$P$32,'FRIL 2025'!$G$3:$G$32,'2025 RESUMEN'!$D72)</f>
        <v>0</v>
      </c>
      <c r="P72" s="121">
        <f>SUMIFS('2025 FNDR'!$Y$4:$Y$356,'2025 FNDR'!$G$4:$G$356,'2025 RESUMEN'!D72)+SUMIFS('FRIL 2025'!$Q$3:$Q$33,'FRIL 2025'!$G$3:$G$33,'2025 RESUMEN'!$D72)</f>
        <v>0</v>
      </c>
      <c r="Q72" s="121">
        <f>SUMIFS('2025 FNDR'!$Z$4:$Z$420,'2025 FNDR'!$G$4:$G$420,'2025 RESUMEN'!D72)+SUMIFS('FRIL 2025'!$R$3:$R$34,'FRIL 2025'!$G$3:$G$34,'2025 RESUMEN'!$D72)</f>
        <v>0</v>
      </c>
      <c r="R72" s="121">
        <f>SUMIFS('2025 FNDR'!$AA$4:$AA$435,'2025 FNDR'!$G$4:$G$435,'2025 RESUMEN'!D72)+SUMIFS('FRIL 2025'!$S$3:$S$36,'FRIL 2025'!$G$3:$G$36,'2025 RESUMEN'!$D72)</f>
        <v>0</v>
      </c>
      <c r="S72" s="121">
        <f>SUMIFS('2025 FNDR'!$AB$5:$AB$447,'2025 FNDR'!$G$5:$G$447,'2025 RESUMEN'!D72)+SUMIFS('FRIL 2025'!$T$3:$T$37,'FRIL 2025'!$G$3:$G$37,'2025 RESUMEN'!D72)</f>
        <v>0</v>
      </c>
      <c r="T72" s="72">
        <f t="shared" si="31"/>
        <v>439682.511</v>
      </c>
      <c r="V72" s="71" t="s">
        <v>83</v>
      </c>
      <c r="W72" s="91">
        <f t="shared" ref="W72:W77" si="32">T72</f>
        <v>439682.511</v>
      </c>
    </row>
    <row r="73" spans="4:23" ht="18" customHeight="1">
      <c r="D73" s="292" t="s">
        <v>84</v>
      </c>
      <c r="E73" s="293">
        <v>2408711</v>
      </c>
      <c r="H73" s="88">
        <f>SUMIFS('2025 FNDR'!$Q$4:$Q$356,'2025 FNDR'!$G$4:$G$356,'2025 RESUMEN'!D73)</f>
        <v>0</v>
      </c>
      <c r="I73" s="88">
        <f>SUMIFS('2025 FNDR'!$R$5:$R$484,'2025 FNDR'!$G$5:$G$484,'2025 RESUMEN'!D73)+SUMIFS('FRIL 2025'!$J$3:$J$52,'FRIL 2025'!$G$3:$G$52,'2025 RESUMEN'!$D73)</f>
        <v>0</v>
      </c>
      <c r="J73" s="88">
        <f>SUMIFS('2025 FNDR'!$S$5:$S$484,'2025 FNDR'!$G$5:$G$484,'2025 RESUMEN'!D73)+SUMIFS('FRIL 2025'!$K$3:$K$52,'FRIL 2025'!$G$3:$G$52,'2025 RESUMEN'!$D73)</f>
        <v>50330.907999999996</v>
      </c>
      <c r="K73" s="88">
        <f>SUMIFS('2025 FNDR'!$T$4:$T$356,'2025 FNDR'!$G$4:$G$356,'2025 RESUMEN'!D73)+SUMIFS('FRIL 2025'!$L$3:$L$53,'FRIL 2025'!$G$3:$G$53,'2025 RESUMEN'!$D73)</f>
        <v>39627</v>
      </c>
      <c r="L73" s="88">
        <f>SUMIFS('2025 FNDR'!$U$4:$U$481,'2025 FNDR'!$G$4:$G$481,'2025 RESUMEN'!D73)+SUMIFS('FRIL 2025'!$M$3:$M$53,'FRIL 2025'!$G$3:$G$53,'2025 RESUMEN'!$D73)</f>
        <v>163727.35399999999</v>
      </c>
      <c r="M73" s="121">
        <f>SUMIFS('2025 FNDR'!$V$4:$V$500,'2025 FNDR'!$G$4:$G$500,'2025 RESUMEN'!D73)+SUMIFS('FRIL 2025'!$N$3:$N$51,'FRIL 2025'!$G$3:$G$51,'2025 RESUMEN'!$D73)</f>
        <v>40631.726999999999</v>
      </c>
      <c r="N73" s="121">
        <f>SUMIFS('2025 FNDR'!$W$4:$W$356,'2025 FNDR'!$G$4:$G$356,'2025 RESUMEN'!D73)+SUMIFS('FRIL 2025'!$O$3:$O$31,'FRIL 2025'!$G$3:$G$31,'2025 RESUMEN'!$D73)</f>
        <v>0</v>
      </c>
      <c r="O73" s="121">
        <f>SUMIFS('2025 FNDR'!$X$4:$X$387,'2025 FNDR'!$G$4:$G$387,'2025 RESUMEN'!D73)+SUMIFS('FRIL 2025'!$P$3:$P$32,'FRIL 2025'!$G$3:$G$32,'2025 RESUMEN'!$D73)</f>
        <v>0</v>
      </c>
      <c r="P73" s="121">
        <f>SUMIFS('2025 FNDR'!$Y$4:$Y$356,'2025 FNDR'!$G$4:$G$356,'2025 RESUMEN'!D73)+SUMIFS('FRIL 2025'!$Q$3:$Q$33,'FRIL 2025'!$G$3:$G$33,'2025 RESUMEN'!$D73)</f>
        <v>0</v>
      </c>
      <c r="Q73" s="121">
        <f>SUMIFS('2025 FNDR'!$Z$4:$Z$420,'2025 FNDR'!$G$4:$G$420,'2025 RESUMEN'!D73)+SUMIFS('FRIL 2025'!$R$3:$R$34,'FRIL 2025'!$G$3:$G$34,'2025 RESUMEN'!$D73)</f>
        <v>0</v>
      </c>
      <c r="R73" s="121">
        <f>SUMIFS('2025 FNDR'!$AA$4:$AA$435,'2025 FNDR'!$G$4:$G$435,'2025 RESUMEN'!D73)+SUMIFS('FRIL 2025'!$S$3:$S$36,'FRIL 2025'!$G$3:$G$36,'2025 RESUMEN'!$D73)</f>
        <v>0</v>
      </c>
      <c r="S73" s="121">
        <f>SUMIFS('2025 FNDR'!$AB$5:$AB$447,'2025 FNDR'!$G$5:$G$447,'2025 RESUMEN'!D73)+SUMIFS('FRIL 2025'!$T$3:$T$37,'FRIL 2025'!$G$3:$G$37,'2025 RESUMEN'!D73)</f>
        <v>0</v>
      </c>
      <c r="T73" s="72">
        <f t="shared" si="31"/>
        <v>294316.989</v>
      </c>
      <c r="V73" s="71" t="s">
        <v>84</v>
      </c>
      <c r="W73" s="91">
        <f t="shared" si="32"/>
        <v>294316.989</v>
      </c>
    </row>
    <row r="74" spans="4:23" ht="18" customHeight="1">
      <c r="D74" s="292" t="s">
        <v>85</v>
      </c>
      <c r="E74" s="293">
        <v>1110637</v>
      </c>
      <c r="H74" s="88">
        <f>SUMIFS('2025 FNDR'!$Q$4:$Q$356,'2025 FNDR'!$G$4:$G$356,'2025 RESUMEN'!D74)</f>
        <v>0</v>
      </c>
      <c r="I74" s="88">
        <f>SUMIFS('2025 FNDR'!$R$5:$R$484,'2025 FNDR'!$G$5:$G$484,'2025 RESUMEN'!D74)+SUMIFS('FRIL 2025'!$J$3:$J$52,'FRIL 2025'!$G$3:$G$52,'2025 RESUMEN'!$D74)</f>
        <v>356388.43099999998</v>
      </c>
      <c r="J74" s="88">
        <f>SUMIFS('2025 FNDR'!$S$5:$S$484,'2025 FNDR'!$G$5:$G$484,'2025 RESUMEN'!D74)+SUMIFS('FRIL 2025'!$K$3:$K$52,'FRIL 2025'!$G$3:$G$52,'2025 RESUMEN'!$D74)</f>
        <v>22541.794999999998</v>
      </c>
      <c r="K74" s="88">
        <f>SUMIFS('2025 FNDR'!$T$4:$T$356,'2025 FNDR'!$G$4:$G$356,'2025 RESUMEN'!D74)+SUMIFS('FRIL 2025'!$L$3:$L$53,'FRIL 2025'!$G$3:$G$53,'2025 RESUMEN'!$D74)</f>
        <v>265714.69699999999</v>
      </c>
      <c r="L74" s="88">
        <f>SUMIFS('2025 FNDR'!$U$4:$U$481,'2025 FNDR'!$G$4:$G$481,'2025 RESUMEN'!D74)+SUMIFS('FRIL 2025'!$M$3:$M$53,'FRIL 2025'!$G$3:$G$53,'2025 RESUMEN'!$D74)</f>
        <v>293845.70900000003</v>
      </c>
      <c r="M74" s="121">
        <f>SUMIFS('2025 FNDR'!$V$4:$V$500,'2025 FNDR'!$G$4:$G$500,'2025 RESUMEN'!D74)+SUMIFS('FRIL 2025'!$N$3:$N$51,'FRIL 2025'!$G$3:$G$51,'2025 RESUMEN'!$D74)</f>
        <v>401251.30599999998</v>
      </c>
      <c r="N74" s="121">
        <f>SUMIFS('2025 FNDR'!$W$4:$W$356,'2025 FNDR'!$G$4:$G$356,'2025 RESUMEN'!D74)+SUMIFS('FRIL 2025'!$O$3:$O$31,'FRIL 2025'!$G$3:$G$31,'2025 RESUMEN'!$D74)</f>
        <v>0</v>
      </c>
      <c r="O74" s="121">
        <f>SUMIFS('2025 FNDR'!$X$4:$X$387,'2025 FNDR'!$G$4:$G$387,'2025 RESUMEN'!D74)+SUMIFS('FRIL 2025'!$P$3:$P$32,'FRIL 2025'!$G$3:$G$32,'2025 RESUMEN'!$D74)</f>
        <v>0</v>
      </c>
      <c r="P74" s="121">
        <f>SUMIFS('2025 FNDR'!$Y$4:$Y$356,'2025 FNDR'!$G$4:$G$356,'2025 RESUMEN'!D74)+SUMIFS('FRIL 2025'!$Q$3:$Q$33,'FRIL 2025'!$G$3:$G$33,'2025 RESUMEN'!$D74)</f>
        <v>0</v>
      </c>
      <c r="Q74" s="121">
        <f>SUMIFS('2025 FNDR'!$Z$4:$Z$420,'2025 FNDR'!$G$4:$G$420,'2025 RESUMEN'!D74)+SUMIFS('FRIL 2025'!$R$3:$R$34,'FRIL 2025'!$G$3:$G$34,'2025 RESUMEN'!$D74)</f>
        <v>0</v>
      </c>
      <c r="R74" s="121">
        <f>SUMIFS('2025 FNDR'!$AA$4:$AA$435,'2025 FNDR'!$G$4:$G$435,'2025 RESUMEN'!D74)+SUMIFS('FRIL 2025'!$S$3:$S$36,'FRIL 2025'!$G$3:$G$36,'2025 RESUMEN'!$D74)</f>
        <v>0</v>
      </c>
      <c r="S74" s="121">
        <f>SUMIFS('2025 FNDR'!$AB$5:$AB$447,'2025 FNDR'!$G$5:$G$447,'2025 RESUMEN'!D74)+SUMIFS('FRIL 2025'!$T$3:$T$37,'FRIL 2025'!$G$3:$G$37,'2025 RESUMEN'!D74)</f>
        <v>0</v>
      </c>
      <c r="T74" s="72">
        <f t="shared" si="31"/>
        <v>1339741.9380000001</v>
      </c>
      <c r="V74" s="71" t="s">
        <v>85</v>
      </c>
      <c r="W74" s="91">
        <f t="shared" si="32"/>
        <v>1339741.9380000001</v>
      </c>
    </row>
    <row r="75" spans="4:23" ht="18" customHeight="1">
      <c r="D75" s="292" t="s">
        <v>86</v>
      </c>
      <c r="E75" s="293">
        <v>524546</v>
      </c>
      <c r="H75" s="88">
        <f>SUMIFS('2025 FNDR'!$Q$4:$Q$356,'2025 FNDR'!$G$4:$G$356,'2025 RESUMEN'!D75)</f>
        <v>0</v>
      </c>
      <c r="I75" s="88">
        <f>SUMIFS('2025 FNDR'!$R$5:$R$484,'2025 FNDR'!$G$5:$G$484,'2025 RESUMEN'!D75)+SUMIFS('FRIL 2025'!$J$3:$J$52,'FRIL 2025'!$G$3:$G$52,'2025 RESUMEN'!$D75)</f>
        <v>109600.159</v>
      </c>
      <c r="J75" s="88">
        <f>SUMIFS('2025 FNDR'!$S$5:$S$484,'2025 FNDR'!$G$5:$G$484,'2025 RESUMEN'!D75)+SUMIFS('FRIL 2025'!$K$3:$K$52,'FRIL 2025'!$G$3:$G$52,'2025 RESUMEN'!$D75)</f>
        <v>140843.58799999999</v>
      </c>
      <c r="K75" s="88">
        <f>SUMIFS('2025 FNDR'!$T$4:$T$356,'2025 FNDR'!$G$4:$G$356,'2025 RESUMEN'!D75)+SUMIFS('FRIL 2025'!$L$3:$L$53,'FRIL 2025'!$G$3:$G$53,'2025 RESUMEN'!$D75)</f>
        <v>0</v>
      </c>
      <c r="L75" s="88">
        <f>SUMIFS('2025 FNDR'!$U$4:$U$481,'2025 FNDR'!$G$4:$G$481,'2025 RESUMEN'!D75)+SUMIFS('FRIL 2025'!$M$3:$M$53,'FRIL 2025'!$G$3:$G$53,'2025 RESUMEN'!$D75)</f>
        <v>72344.195000000007</v>
      </c>
      <c r="M75" s="121">
        <f>SUMIFS('2025 FNDR'!$V$4:$V$500,'2025 FNDR'!$G$4:$G$500,'2025 RESUMEN'!D75)+SUMIFS('FRIL 2025'!$N$3:$N$51,'FRIL 2025'!$G$3:$G$51,'2025 RESUMEN'!$D75)</f>
        <v>339005.67000000004</v>
      </c>
      <c r="N75" s="121">
        <f>SUMIFS('2025 FNDR'!$W$4:$W$356,'2025 FNDR'!$G$4:$G$356,'2025 RESUMEN'!D75)+SUMIFS('FRIL 2025'!$O$3:$O$31,'FRIL 2025'!$G$3:$G$31,'2025 RESUMEN'!$D75)</f>
        <v>0</v>
      </c>
      <c r="O75" s="121">
        <f>SUMIFS('2025 FNDR'!$X$4:$X$387,'2025 FNDR'!$G$4:$G$387,'2025 RESUMEN'!D75)+SUMIFS('FRIL 2025'!$P$3:$P$32,'FRIL 2025'!$G$3:$G$32,'2025 RESUMEN'!$D75)</f>
        <v>0</v>
      </c>
      <c r="P75" s="121">
        <f>SUMIFS('2025 FNDR'!$Y$4:$Y$356,'2025 FNDR'!$G$4:$G$356,'2025 RESUMEN'!D75)+SUMIFS('FRIL 2025'!$Q$3:$Q$33,'FRIL 2025'!$G$3:$G$33,'2025 RESUMEN'!$D75)</f>
        <v>0</v>
      </c>
      <c r="Q75" s="121">
        <f>SUMIFS('2025 FNDR'!$Z$4:$Z$420,'2025 FNDR'!$G$4:$G$420,'2025 RESUMEN'!D75)+SUMIFS('FRIL 2025'!$R$3:$R$34,'FRIL 2025'!$G$3:$G$34,'2025 RESUMEN'!$D75)</f>
        <v>0</v>
      </c>
      <c r="R75" s="121">
        <f>SUMIFS('2025 FNDR'!$AA$4:$AA$435,'2025 FNDR'!$G$4:$G$435,'2025 RESUMEN'!D75)+SUMIFS('FRIL 2025'!$S$3:$S$36,'FRIL 2025'!$G$3:$G$36,'2025 RESUMEN'!$D75)</f>
        <v>0</v>
      </c>
      <c r="S75" s="121">
        <f>SUMIFS('2025 FNDR'!$AB$5:$AB$447,'2025 FNDR'!$G$5:$G$447,'2025 RESUMEN'!D75)+SUMIFS('FRIL 2025'!$T$3:$T$37,'FRIL 2025'!$G$3:$G$37,'2025 RESUMEN'!D75)</f>
        <v>0</v>
      </c>
      <c r="T75" s="72">
        <f t="shared" si="31"/>
        <v>661793.61199999996</v>
      </c>
      <c r="V75" s="71" t="s">
        <v>86</v>
      </c>
      <c r="W75" s="91">
        <f t="shared" si="32"/>
        <v>661793.61199999996</v>
      </c>
    </row>
    <row r="76" spans="4:23" ht="18" customHeight="1">
      <c r="D76" s="292" t="s">
        <v>87</v>
      </c>
      <c r="E76" s="293">
        <v>871616</v>
      </c>
      <c r="H76" s="88">
        <f>SUMIFS('2025 FNDR'!$Q$4:$Q$356,'2025 FNDR'!$G$4:$G$356,'2025 RESUMEN'!D76)</f>
        <v>0</v>
      </c>
      <c r="I76" s="88">
        <f>SUMIFS('2025 FNDR'!$R$5:$R$484,'2025 FNDR'!$G$5:$G$484,'2025 RESUMEN'!D76)+SUMIFS('FRIL 2025'!$J$3:$J$52,'FRIL 2025'!$G$3:$G$52,'2025 RESUMEN'!$D76)</f>
        <v>205100.166</v>
      </c>
      <c r="J76" s="88">
        <f>SUMIFS('2025 FNDR'!$S$5:$S$484,'2025 FNDR'!$G$5:$G$484,'2025 RESUMEN'!D76)+SUMIFS('FRIL 2025'!$K$3:$K$52,'FRIL 2025'!$G$3:$G$52,'2025 RESUMEN'!$D76)</f>
        <v>0</v>
      </c>
      <c r="K76" s="88">
        <f>SUMIFS('2025 FNDR'!$T$4:$T$356,'2025 FNDR'!$G$4:$G$356,'2025 RESUMEN'!D76)+SUMIFS('FRIL 2025'!$L$3:$L$53,'FRIL 2025'!$G$3:$G$53,'2025 RESUMEN'!$D76)</f>
        <v>18123.791000000001</v>
      </c>
      <c r="L76" s="88">
        <f>SUMIFS('2025 FNDR'!$U$4:$U$481,'2025 FNDR'!$G$4:$G$481,'2025 RESUMEN'!D76)+SUMIFS('FRIL 2025'!$M$3:$M$53,'FRIL 2025'!$G$3:$G$53,'2025 RESUMEN'!$D76)</f>
        <v>98346.373000000007</v>
      </c>
      <c r="M76" s="121">
        <f>SUMIFS('2025 FNDR'!$V$4:$V$500,'2025 FNDR'!$G$4:$G$500,'2025 RESUMEN'!D76)+SUMIFS('FRIL 2025'!$N$3:$N$51,'FRIL 2025'!$G$3:$G$51,'2025 RESUMEN'!$D76)</f>
        <v>11944.84</v>
      </c>
      <c r="N76" s="121">
        <f>SUMIFS('2025 FNDR'!$W$4:$W$356,'2025 FNDR'!$G$4:$G$356,'2025 RESUMEN'!D76)+SUMIFS('FRIL 2025'!$O$3:$O$31,'FRIL 2025'!$G$3:$G$31,'2025 RESUMEN'!$D76)</f>
        <v>0</v>
      </c>
      <c r="O76" s="121">
        <f>SUMIFS('2025 FNDR'!$X$4:$X$387,'2025 FNDR'!$G$4:$G$387,'2025 RESUMEN'!D76)+SUMIFS('FRIL 2025'!$P$3:$P$32,'FRIL 2025'!$G$3:$G$32,'2025 RESUMEN'!$D76)</f>
        <v>0</v>
      </c>
      <c r="P76" s="121">
        <f>SUMIFS('2025 FNDR'!$Y$4:$Y$356,'2025 FNDR'!$G$4:$G$356,'2025 RESUMEN'!D76)+SUMIFS('FRIL 2025'!$Q$3:$Q$33,'FRIL 2025'!$G$3:$G$33,'2025 RESUMEN'!$D76)</f>
        <v>0</v>
      </c>
      <c r="Q76" s="121">
        <f>SUMIFS('2025 FNDR'!$Z$4:$Z$420,'2025 FNDR'!$G$4:$G$420,'2025 RESUMEN'!D76)+SUMIFS('FRIL 2025'!$R$3:$R$34,'FRIL 2025'!$G$3:$G$34,'2025 RESUMEN'!$D76)</f>
        <v>0</v>
      </c>
      <c r="R76" s="121">
        <f>SUMIFS('2025 FNDR'!$AA$4:$AA$435,'2025 FNDR'!$G$4:$G$435,'2025 RESUMEN'!D76)+SUMIFS('FRIL 2025'!$S$3:$S$36,'FRIL 2025'!$G$3:$G$36,'2025 RESUMEN'!$D76)</f>
        <v>0</v>
      </c>
      <c r="S76" s="121">
        <f>SUMIFS('2025 FNDR'!$AB$5:$AB$447,'2025 FNDR'!$G$5:$G$447,'2025 RESUMEN'!D76)+SUMIFS('FRIL 2025'!$T$3:$T$37,'FRIL 2025'!$G$3:$G$37,'2025 RESUMEN'!D76)</f>
        <v>0</v>
      </c>
      <c r="T76" s="72">
        <f t="shared" si="31"/>
        <v>333515.17000000004</v>
      </c>
      <c r="V76" s="71" t="s">
        <v>87</v>
      </c>
      <c r="W76" s="91">
        <f t="shared" si="32"/>
        <v>333515.17000000004</v>
      </c>
    </row>
    <row r="77" spans="4:23" ht="18" customHeight="1">
      <c r="D77" s="292" t="s">
        <v>88</v>
      </c>
      <c r="E77" s="294">
        <v>0</v>
      </c>
      <c r="H77" s="88">
        <f>SUMIFS('2025 FNDR'!$Q$4:$Q$356,'2025 FNDR'!$G$4:$G$356,'2025 RESUMEN'!D77)</f>
        <v>0</v>
      </c>
      <c r="I77" s="88">
        <f>SUMIFS('2025 FNDR'!$R$5:$R$484,'2025 FNDR'!$G$5:$G$484,'2025 RESUMEN'!D77)+SUMIFS('FRIL 2025'!$J$3:$J$52,'FRIL 2025'!$G$3:$G$52,'2025 RESUMEN'!$D77)</f>
        <v>0</v>
      </c>
      <c r="J77" s="88">
        <f>SUMIFS('2025 FNDR'!$S$5:$S$484,'2025 FNDR'!$G$5:$G$484,'2025 RESUMEN'!D77)+SUMIFS('FRIL 2025'!$K$3:$K$52,'FRIL 2025'!$G$3:$G$52,'2025 RESUMEN'!$D77)</f>
        <v>0</v>
      </c>
      <c r="K77" s="88">
        <f>SUMIFS('2025 FNDR'!$T$4:$T$356,'2025 FNDR'!$G$4:$G$356,'2025 RESUMEN'!D77)+SUMIFS('FRIL 2025'!$L$3:$L$53,'FRIL 2025'!$G$3:$G$53,'2025 RESUMEN'!$D77)</f>
        <v>0</v>
      </c>
      <c r="L77" s="88">
        <f>SUMIFS('2025 FNDR'!$U$4:$U$481,'2025 FNDR'!$G$4:$G$481,'2025 RESUMEN'!D77)+SUMIFS('FRIL 2025'!$M$3:$M$53,'FRIL 2025'!$G$3:$G$53,'2025 RESUMEN'!$D77)</f>
        <v>0</v>
      </c>
      <c r="M77" s="121">
        <f>SUMIFS('2025 FNDR'!$V$4:$V$500,'2025 FNDR'!$G$4:$G$500,'2025 RESUMEN'!D77)+SUMIFS('FRIL 2025'!$N$3:$N$51,'FRIL 2025'!$G$3:$G$51,'2025 RESUMEN'!$D77)</f>
        <v>0</v>
      </c>
      <c r="N77" s="121">
        <f>SUMIFS('2025 FNDR'!$W$4:$W$356,'2025 FNDR'!$G$4:$G$356,'2025 RESUMEN'!D77)+SUMIFS('FRIL 2025'!$O$3:$O$31,'FRIL 2025'!$G$3:$G$31,'2025 RESUMEN'!$D77)</f>
        <v>0</v>
      </c>
      <c r="O77" s="121">
        <f>SUMIFS('2025 FNDR'!$X$4:$X$387,'2025 FNDR'!$G$4:$G$387,'2025 RESUMEN'!D77)+SUMIFS('FRIL 2025'!$P$3:$P$32,'FRIL 2025'!$G$3:$G$32,'2025 RESUMEN'!$D77)</f>
        <v>0</v>
      </c>
      <c r="P77" s="121">
        <f>SUMIFS('2025 FNDR'!$Y$4:$Y$356,'2025 FNDR'!$G$4:$G$356,'2025 RESUMEN'!D77)+SUMIFS('FRIL 2025'!$Q$3:$Q$33,'FRIL 2025'!$G$3:$G$33,'2025 RESUMEN'!$D77)</f>
        <v>0</v>
      </c>
      <c r="Q77" s="121">
        <f>SUMIFS('2025 FNDR'!$Z$4:$Z$420,'2025 FNDR'!$G$4:$G$420,'2025 RESUMEN'!D77)+SUMIFS('FRIL 2025'!$R$3:$R$34,'FRIL 2025'!$G$3:$G$34,'2025 RESUMEN'!$D77)</f>
        <v>0</v>
      </c>
      <c r="R77" s="121">
        <f>SUMIFS('2025 FNDR'!$AA$4:$AA$435,'2025 FNDR'!$G$4:$G$435,'2025 RESUMEN'!D77)+SUMIFS('FRIL 2025'!$S$3:$S$36,'FRIL 2025'!$G$3:$G$36,'2025 RESUMEN'!$D77)</f>
        <v>0</v>
      </c>
      <c r="S77" s="121">
        <f>SUMIFS('2025 FNDR'!$AB$5:$AB$447,'2025 FNDR'!$G$5:$G$447,'2025 RESUMEN'!D77)+SUMIFS('FRIL 2025'!$T$3:$T$37,'FRIL 2025'!$G$3:$G$37,'2025 RESUMEN'!D77)</f>
        <v>0</v>
      </c>
      <c r="T77" s="72">
        <f t="shared" si="31"/>
        <v>0</v>
      </c>
      <c r="V77" s="71" t="s">
        <v>88</v>
      </c>
      <c r="W77" s="91">
        <f t="shared" si="32"/>
        <v>0</v>
      </c>
    </row>
    <row r="78" spans="4:23" ht="18" customHeight="1">
      <c r="D78" s="295" t="s">
        <v>89</v>
      </c>
      <c r="E78" s="296">
        <v>5934134</v>
      </c>
      <c r="G78" s="73"/>
      <c r="H78" s="80">
        <f>SUM(H71:H77)</f>
        <v>0</v>
      </c>
      <c r="I78" s="80">
        <f t="shared" ref="I78:P78" si="33">SUM(I71:I77)</f>
        <v>755623.201</v>
      </c>
      <c r="J78" s="80">
        <f t="shared" si="33"/>
        <v>230139.64399999997</v>
      </c>
      <c r="K78" s="80">
        <f t="shared" si="33"/>
        <v>559618.47799999989</v>
      </c>
      <c r="L78" s="80">
        <f t="shared" si="33"/>
        <v>825770.50300000014</v>
      </c>
      <c r="M78" s="80">
        <f t="shared" si="33"/>
        <v>967338.02899999998</v>
      </c>
      <c r="N78" s="80">
        <f t="shared" si="33"/>
        <v>0</v>
      </c>
      <c r="O78" s="80">
        <f t="shared" si="33"/>
        <v>0</v>
      </c>
      <c r="P78" s="80">
        <f t="shared" si="33"/>
        <v>0</v>
      </c>
      <c r="Q78" s="80">
        <f>SUM(Q71:Q77)</f>
        <v>0</v>
      </c>
      <c r="R78" s="80">
        <f>SUM(R71:R77)</f>
        <v>0</v>
      </c>
      <c r="S78" s="80">
        <f>SUM(S71:S77)</f>
        <v>0</v>
      </c>
      <c r="T78" s="80">
        <f>SUM(T71:T77)</f>
        <v>3338489.8549999995</v>
      </c>
      <c r="V78" s="78" t="s">
        <v>89</v>
      </c>
      <c r="W78" s="79">
        <f>SUM(W71:W77)</f>
        <v>3338489.8549999995</v>
      </c>
    </row>
    <row r="79" spans="4:23" ht="18" customHeight="1">
      <c r="D79" s="292" t="s">
        <v>90</v>
      </c>
      <c r="E79" s="297">
        <v>2413215</v>
      </c>
      <c r="H79" s="89">
        <f>SUMIFS('2025 FNDR'!$Q$4:$Q$356,'2025 FNDR'!$G$4:$G$356,'2025 RESUMEN'!D79)</f>
        <v>0</v>
      </c>
      <c r="I79" s="89">
        <f>SUMIFS('2025 FNDR'!$R$5:$R$484,'2025 FNDR'!$G$5:$G$484,'2025 RESUMEN'!D79)+SUMIFS('FRIL 2025'!$J$3:$J$52,'FRIL 2025'!$G$3:$G$52,'2025 RESUMEN'!$D79)</f>
        <v>46784.678999999996</v>
      </c>
      <c r="J79" s="89">
        <f>SUMIFS('2025 FNDR'!$S$4:$S$403,'2025 FNDR'!$G$4:$G$403,'2025 RESUMEN'!D79)+SUMIFS('FRIL 2025'!$K$3:$K$53,'FRIL 2025'!$G$3:$G$53,'2025 RESUMEN'!$D79)</f>
        <v>286899.42</v>
      </c>
      <c r="K79" s="89">
        <f>SUMIFS('2025 FNDR'!$T$4:$T$356,'2025 FNDR'!$G$4:$G$356,'2025 RESUMEN'!D79)+SUMIFS('FRIL 2025'!$L$3:$L$53,'FRIL 2025'!$G$3:$G$53,'2025 RESUMEN'!$D79)</f>
        <v>274353.65300000005</v>
      </c>
      <c r="L79" s="89">
        <f>SUMIFS('2025 FNDR'!$U$4:$U$481,'2025 FNDR'!$G$4:$G$481,'2025 RESUMEN'!D79)+SUMIFS('FRIL 2025'!$M$3:$M$53,'FRIL 2025'!$G$3:$G$53,'2025 RESUMEN'!$D79)</f>
        <v>172638.43900000001</v>
      </c>
      <c r="M79" s="122">
        <f>SUMIFS('2025 FNDR'!$V$4:$V$500,'2025 FNDR'!$G$4:$G$500,'2025 RESUMEN'!D79)+SUMIFS('FRIL 2025'!$N$3:$N$51,'FRIL 2025'!$G$3:$G$51,'2025 RESUMEN'!$D79)</f>
        <v>284711.65000000002</v>
      </c>
      <c r="N79" s="122">
        <f>SUMIFS('2025 FNDR'!$W$4:$W$356,'2025 FNDR'!$G$4:$G$356,'2025 RESUMEN'!D79)+SUMIFS('FRIL 2025'!$O$3:$O$31,'FRIL 2025'!$G$3:$G$31,'2025 RESUMEN'!$D79)</f>
        <v>0</v>
      </c>
      <c r="O79" s="122">
        <f>SUMIFS('2025 FNDR'!$X$4:$X$387,'2025 FNDR'!$G$4:$G$387,'2025 RESUMEN'!D79)+SUMIFS('FRIL 2025'!$P$3:$P$32,'FRIL 2025'!$G$3:$G$32,'2025 RESUMEN'!$D79)</f>
        <v>0</v>
      </c>
      <c r="P79" s="122">
        <f>SUMIFS('2025 FNDR'!$Y$4:$Y$356,'2025 FNDR'!$G$4:$G$356,'2025 RESUMEN'!D79)+SUMIFS('FRIL 2025'!$Q$3:$Q$33,'FRIL 2025'!$G$3:$G$33,'2025 RESUMEN'!$D79)</f>
        <v>0</v>
      </c>
      <c r="Q79" s="122">
        <f>SUMIFS('2025 FNDR'!$Z$4:$Z$420,'2025 FNDR'!$G$4:$G$420,'2025 RESUMEN'!D79)+SUMIFS('FRIL 2025'!$R$3:$R$34,'FRIL 2025'!$G$3:$G$34,'2025 RESUMEN'!$D79)</f>
        <v>0</v>
      </c>
      <c r="R79" s="122">
        <f>SUMIFS('2025 FNDR'!$AA$4:$AA$435,'2025 FNDR'!$G$4:$G$435,'2025 RESUMEN'!D79)+SUMIFS('FRIL 2025'!$S$3:$S$36,'FRIL 2025'!$G$3:$G$36,'2025 RESUMEN'!$D79)</f>
        <v>0</v>
      </c>
      <c r="S79" s="122">
        <f>SUMIFS('2025 FNDR'!$AB$5:$AB$447,'2025 FNDR'!$G$5:$G$447,'2025 RESUMEN'!D79)+SUMIFS('FRIL 2025'!$T$3:$T$37,'FRIL 2025'!$G$3:$G$37,'2025 RESUMEN'!D79)</f>
        <v>0</v>
      </c>
      <c r="T79" s="72">
        <f t="shared" ref="T79:T84" si="34">SUMIFS(H79:S79,$H$69:$S$69,"ejecutado")</f>
        <v>1065387.841</v>
      </c>
      <c r="V79" s="71" t="s">
        <v>90</v>
      </c>
      <c r="W79" s="92">
        <f>T79</f>
        <v>1065387.841</v>
      </c>
    </row>
    <row r="80" spans="4:23" ht="18" customHeight="1">
      <c r="D80" s="292" t="s">
        <v>91</v>
      </c>
      <c r="E80" s="297">
        <v>4475389</v>
      </c>
      <c r="H80" s="89">
        <f>SUMIFS('2025 FNDR'!$Q$4:$Q$356,'2025 FNDR'!$G$4:$G$356,'2025 RESUMEN'!D80)</f>
        <v>0</v>
      </c>
      <c r="I80" s="89">
        <f>SUMIFS('2025 FNDR'!$R$5:$R$484,'2025 FNDR'!$G$5:$G$484,'2025 RESUMEN'!D80)+SUMIFS('FRIL 2025'!$J$3:$J$52,'FRIL 2025'!$G$3:$G$52,'2025 RESUMEN'!$D80)</f>
        <v>9457.5</v>
      </c>
      <c r="J80" s="89">
        <f>SUMIFS('2025 FNDR'!$S$4:$S$403,'2025 FNDR'!$G$4:$G$403,'2025 RESUMEN'!D80)+SUMIFS('FRIL 2025'!$K$3:$K$53,'FRIL 2025'!$G$3:$G$53,'2025 RESUMEN'!$D80)</f>
        <v>879319.772</v>
      </c>
      <c r="K80" s="89">
        <f>SUMIFS('2025 FNDR'!$T$4:$T$356,'2025 FNDR'!$G$4:$G$356,'2025 RESUMEN'!D80)+SUMIFS('FRIL 2025'!$L$3:$L$53,'FRIL 2025'!$G$3:$G$53,'2025 RESUMEN'!$D80)</f>
        <v>606221.29300000006</v>
      </c>
      <c r="L80" s="89">
        <f>SUMIFS('2025 FNDR'!$U$4:$U$481,'2025 FNDR'!$G$4:$G$481,'2025 RESUMEN'!D80)+SUMIFS('FRIL 2025'!$M$3:$M$53,'FRIL 2025'!$G$3:$G$53,'2025 RESUMEN'!$D80)</f>
        <v>235952.49100000004</v>
      </c>
      <c r="M80" s="122">
        <f>SUMIFS('2025 FNDR'!$V$4:$V$500,'2025 FNDR'!$G$4:$G$500,'2025 RESUMEN'!D80)+SUMIFS('FRIL 2025'!$N$3:$N$51,'FRIL 2025'!$G$3:$G$51,'2025 RESUMEN'!$D80)</f>
        <v>165213.435</v>
      </c>
      <c r="N80" s="122">
        <f>SUMIFS('2025 FNDR'!$W$4:$W$356,'2025 FNDR'!$G$4:$G$356,'2025 RESUMEN'!D80)+SUMIFS('FRIL 2025'!$O$3:$O$31,'FRIL 2025'!$G$3:$G$31,'2025 RESUMEN'!$D80)</f>
        <v>0</v>
      </c>
      <c r="O80" s="122">
        <f>SUMIFS('2025 FNDR'!$X$4:$X$387,'2025 FNDR'!$G$4:$G$387,'2025 RESUMEN'!D80)+SUMIFS('FRIL 2025'!$P$3:$P$32,'FRIL 2025'!$G$3:$G$32,'2025 RESUMEN'!$D80)</f>
        <v>0</v>
      </c>
      <c r="P80" s="122">
        <f>SUMIFS('2025 FNDR'!$Y$4:$Y$356,'2025 FNDR'!$G$4:$G$356,'2025 RESUMEN'!D80)+SUMIFS('FRIL 2025'!$Q$3:$Q$33,'FRIL 2025'!$G$3:$G$33,'2025 RESUMEN'!$D80)</f>
        <v>0</v>
      </c>
      <c r="Q80" s="122">
        <f>SUMIFS('2025 FNDR'!$Z$4:$Z$420,'2025 FNDR'!$G$4:$G$420,'2025 RESUMEN'!D80)+SUMIFS('FRIL 2025'!$R$3:$R$34,'FRIL 2025'!$G$3:$G$34,'2025 RESUMEN'!$D80)</f>
        <v>0</v>
      </c>
      <c r="R80" s="122">
        <f>SUMIFS('2025 FNDR'!$AA$4:$AA$435,'2025 FNDR'!$G$4:$G$435,'2025 RESUMEN'!D80)+SUMIFS('FRIL 2025'!$S$3:$S$36,'FRIL 2025'!$G$3:$G$36,'2025 RESUMEN'!$D80)</f>
        <v>0</v>
      </c>
      <c r="S80" s="122">
        <f>SUMIFS('2025 FNDR'!$AB$5:$AB$447,'2025 FNDR'!$G$5:$G$447,'2025 RESUMEN'!D80)+SUMIFS('FRIL 2025'!$T$3:$T$37,'FRIL 2025'!$G$3:$G$37,'2025 RESUMEN'!D80)</f>
        <v>0</v>
      </c>
      <c r="T80" s="72">
        <f t="shared" si="34"/>
        <v>1896164.4909999999</v>
      </c>
      <c r="V80" s="71" t="s">
        <v>91</v>
      </c>
      <c r="W80" s="92">
        <f t="shared" ref="W80:W84" si="35">T80</f>
        <v>1896164.4909999999</v>
      </c>
    </row>
    <row r="81" spans="4:23" ht="18" customHeight="1">
      <c r="D81" s="292" t="s">
        <v>92</v>
      </c>
      <c r="E81" s="297">
        <v>2775942</v>
      </c>
      <c r="H81" s="89">
        <f>SUMIFS('2025 FNDR'!$Q$4:$Q$356,'2025 FNDR'!$G$4:$G$356,'2025 RESUMEN'!D81)</f>
        <v>0</v>
      </c>
      <c r="I81" s="89">
        <f>SUMIFS('2025 FNDR'!$R$5:$R$484,'2025 FNDR'!$G$5:$G$484,'2025 RESUMEN'!D81)+SUMIFS('FRIL 2025'!$J$3:$J$52,'FRIL 2025'!$G$3:$G$52,'2025 RESUMEN'!$D81)</f>
        <v>255899.02</v>
      </c>
      <c r="J81" s="89">
        <f>SUMIFS('2025 FNDR'!$S$4:$S$403,'2025 FNDR'!$G$4:$G$403,'2025 RESUMEN'!D81)+SUMIFS('FRIL 2025'!$K$3:$K$53,'FRIL 2025'!$G$3:$G$53,'2025 RESUMEN'!$D81)</f>
        <v>902788.85600000003</v>
      </c>
      <c r="K81" s="89">
        <f>SUMIFS('2025 FNDR'!$T$4:$T$356,'2025 FNDR'!$G$4:$G$356,'2025 RESUMEN'!D81)+SUMIFS('FRIL 2025'!$L$3:$L$53,'FRIL 2025'!$G$3:$G$53,'2025 RESUMEN'!$D81)</f>
        <v>173128.11600000001</v>
      </c>
      <c r="L81" s="89">
        <f>SUMIFS('2025 FNDR'!$U$4:$U$481,'2025 FNDR'!$G$4:$G$481,'2025 RESUMEN'!D81)+SUMIFS('FRIL 2025'!$M$3:$M$53,'FRIL 2025'!$G$3:$G$53,'2025 RESUMEN'!$D81)</f>
        <v>300210.45300000004</v>
      </c>
      <c r="M81" s="122">
        <f>SUMIFS('2025 FNDR'!$V$4:$V$500,'2025 FNDR'!$G$4:$G$500,'2025 RESUMEN'!D81)+SUMIFS('FRIL 2025'!$N$3:$N$51,'FRIL 2025'!$G$3:$G$51,'2025 RESUMEN'!$D81)</f>
        <v>5033.9939999999997</v>
      </c>
      <c r="N81" s="122">
        <f>SUMIFS('2025 FNDR'!$W$4:$W$356,'2025 FNDR'!$G$4:$G$356,'2025 RESUMEN'!D81)+SUMIFS('FRIL 2025'!$O$3:$O$31,'FRIL 2025'!$G$3:$G$31,'2025 RESUMEN'!$D81)</f>
        <v>0</v>
      </c>
      <c r="O81" s="122">
        <f>SUMIFS('2025 FNDR'!$X$4:$X$387,'2025 FNDR'!$G$4:$G$387,'2025 RESUMEN'!D81)+SUMIFS('FRIL 2025'!$P$3:$P$32,'FRIL 2025'!$G$3:$G$32,'2025 RESUMEN'!$D81)</f>
        <v>0</v>
      </c>
      <c r="P81" s="122">
        <f>SUMIFS('2025 FNDR'!$Y$4:$Y$356,'2025 FNDR'!$G$4:$G$356,'2025 RESUMEN'!D81)+SUMIFS('FRIL 2025'!$Q$3:$Q$33,'FRIL 2025'!$G$3:$G$33,'2025 RESUMEN'!$D81)</f>
        <v>0</v>
      </c>
      <c r="Q81" s="122">
        <f>SUMIFS('2025 FNDR'!$Z$4:$Z$420,'2025 FNDR'!$G$4:$G$420,'2025 RESUMEN'!D81)+SUMIFS('FRIL 2025'!$R$3:$R$34,'FRIL 2025'!$G$3:$G$34,'2025 RESUMEN'!$D81)</f>
        <v>0</v>
      </c>
      <c r="R81" s="122">
        <f>SUMIFS('2025 FNDR'!$AA$4:$AA$435,'2025 FNDR'!$G$4:$G$435,'2025 RESUMEN'!D81)+SUMIFS('FRIL 2025'!$S$3:$S$36,'FRIL 2025'!$G$3:$G$36,'2025 RESUMEN'!$D81)</f>
        <v>0</v>
      </c>
      <c r="S81" s="122">
        <f>SUMIFS('2025 FNDR'!$AB$5:$AB$447,'2025 FNDR'!$G$5:$G$447,'2025 RESUMEN'!D81)+SUMIFS('FRIL 2025'!$T$3:$T$37,'FRIL 2025'!$G$3:$G$37,'2025 RESUMEN'!D81)</f>
        <v>0</v>
      </c>
      <c r="T81" s="72">
        <f t="shared" si="34"/>
        <v>1637060.4389999998</v>
      </c>
      <c r="V81" s="71" t="s">
        <v>92</v>
      </c>
      <c r="W81" s="92">
        <f t="shared" si="35"/>
        <v>1637060.4389999998</v>
      </c>
    </row>
    <row r="82" spans="4:23" ht="18" customHeight="1">
      <c r="D82" s="292" t="s">
        <v>93</v>
      </c>
      <c r="E82" s="297">
        <v>701015</v>
      </c>
      <c r="H82" s="89">
        <f>SUMIFS('2025 FNDR'!$Q$4:$Q$356,'2025 FNDR'!$G$4:$G$356,'2025 RESUMEN'!D82)</f>
        <v>0</v>
      </c>
      <c r="I82" s="89">
        <f>SUMIFS('2025 FNDR'!$R$5:$R$484,'2025 FNDR'!$G$5:$G$484,'2025 RESUMEN'!D82)+SUMIFS('FRIL 2025'!$J$3:$J$52,'FRIL 2025'!$G$3:$G$52,'2025 RESUMEN'!$D82)</f>
        <v>148729.62599999999</v>
      </c>
      <c r="J82" s="89">
        <f>SUMIFS('2025 FNDR'!$S$4:$S$403,'2025 FNDR'!$G$4:$G$403,'2025 RESUMEN'!D82)+SUMIFS('FRIL 2025'!$K$3:$K$53,'FRIL 2025'!$G$3:$G$53,'2025 RESUMEN'!$D82)</f>
        <v>53554.123</v>
      </c>
      <c r="K82" s="89">
        <f>SUMIFS('2025 FNDR'!$T$4:$T$356,'2025 FNDR'!$G$4:$G$356,'2025 RESUMEN'!D82)+SUMIFS('FRIL 2025'!$L$3:$L$53,'FRIL 2025'!$G$3:$G$53,'2025 RESUMEN'!$D82)</f>
        <v>80686.804000000004</v>
      </c>
      <c r="L82" s="89">
        <f>SUMIFS('2025 FNDR'!$U$4:$U$481,'2025 FNDR'!$G$4:$G$481,'2025 RESUMEN'!D82)+SUMIFS('FRIL 2025'!$M$3:$M$53,'FRIL 2025'!$G$3:$G$53,'2025 RESUMEN'!$D82)</f>
        <v>454808.56500000006</v>
      </c>
      <c r="M82" s="122">
        <f>SUMIFS('2025 FNDR'!$V$4:$V$500,'2025 FNDR'!$G$4:$G$500,'2025 RESUMEN'!D82)+SUMIFS('FRIL 2025'!$N$3:$N$51,'FRIL 2025'!$G$3:$G$51,'2025 RESUMEN'!$D82)</f>
        <v>0</v>
      </c>
      <c r="N82" s="122">
        <f>SUMIFS('2025 FNDR'!$W$4:$W$356,'2025 FNDR'!$G$4:$G$356,'2025 RESUMEN'!D82)+SUMIFS('FRIL 2025'!$O$3:$O$31,'FRIL 2025'!$G$3:$G$31,'2025 RESUMEN'!$D82)</f>
        <v>0</v>
      </c>
      <c r="O82" s="122">
        <f>SUMIFS('2025 FNDR'!$X$4:$X$387,'2025 FNDR'!$G$4:$G$387,'2025 RESUMEN'!D82)+SUMIFS('FRIL 2025'!$P$3:$P$32,'FRIL 2025'!$G$3:$G$32,'2025 RESUMEN'!$D82)</f>
        <v>0</v>
      </c>
      <c r="P82" s="122">
        <f>SUMIFS('2025 FNDR'!$Y$4:$Y$356,'2025 FNDR'!$G$4:$G$356,'2025 RESUMEN'!D82)+SUMIFS('FRIL 2025'!$Q$3:$Q$33,'FRIL 2025'!$G$3:$G$33,'2025 RESUMEN'!$D82)</f>
        <v>0</v>
      </c>
      <c r="Q82" s="122">
        <f>SUMIFS('2025 FNDR'!$Z$4:$Z$420,'2025 FNDR'!$G$4:$G$420,'2025 RESUMEN'!D82)+SUMIFS('FRIL 2025'!$R$3:$R$34,'FRIL 2025'!$G$3:$G$34,'2025 RESUMEN'!$D82)</f>
        <v>0</v>
      </c>
      <c r="R82" s="122">
        <f>SUMIFS('2025 FNDR'!$AA$4:$AA$435,'2025 FNDR'!$G$4:$G$435,'2025 RESUMEN'!D82)+SUMIFS('FRIL 2025'!$S$3:$S$36,'FRIL 2025'!$G$3:$G$36,'2025 RESUMEN'!$D82)</f>
        <v>0</v>
      </c>
      <c r="S82" s="122">
        <f>SUMIFS('2025 FNDR'!$AB$5:$AB$447,'2025 FNDR'!$G$5:$G$447,'2025 RESUMEN'!D82)+SUMIFS('FRIL 2025'!$T$3:$T$37,'FRIL 2025'!$G$3:$G$37,'2025 RESUMEN'!D82)</f>
        <v>0</v>
      </c>
      <c r="T82" s="72">
        <f t="shared" si="34"/>
        <v>737779.11800000002</v>
      </c>
      <c r="V82" s="71" t="s">
        <v>93</v>
      </c>
      <c r="W82" s="92">
        <f t="shared" si="35"/>
        <v>737779.11800000002</v>
      </c>
    </row>
    <row r="83" spans="4:23" ht="18" customHeight="1">
      <c r="D83" s="292" t="s">
        <v>94</v>
      </c>
      <c r="E83" s="297">
        <v>618118</v>
      </c>
      <c r="H83" s="89">
        <f>SUMIFS('2025 FNDR'!$Q$4:$Q$356,'2025 FNDR'!$G$4:$G$356,'2025 RESUMEN'!D83)</f>
        <v>0</v>
      </c>
      <c r="I83" s="89">
        <f>SUMIFS('2025 FNDR'!$R$5:$R$484,'2025 FNDR'!$G$5:$G$484,'2025 RESUMEN'!D83)+SUMIFS('FRIL 2025'!$J$3:$J$52,'FRIL 2025'!$G$3:$G$52,'2025 RESUMEN'!$D83)</f>
        <v>93262.259000000005</v>
      </c>
      <c r="J83" s="89">
        <f>SUMIFS('2025 FNDR'!$S$4:$S$403,'2025 FNDR'!$G$4:$G$403,'2025 RESUMEN'!D83)+SUMIFS('FRIL 2025'!$K$3:$K$53,'FRIL 2025'!$G$3:$G$53,'2025 RESUMEN'!$D83)</f>
        <v>51245.008999999998</v>
      </c>
      <c r="K83" s="89">
        <f>SUMIFS('2025 FNDR'!$T$4:$T$356,'2025 FNDR'!$G$4:$G$356,'2025 RESUMEN'!D83)+SUMIFS('FRIL 2025'!$L$3:$L$53,'FRIL 2025'!$G$3:$G$53,'2025 RESUMEN'!$D83)</f>
        <v>183540.242</v>
      </c>
      <c r="L83" s="89">
        <f>SUMIFS('2025 FNDR'!$U$4:$U$481,'2025 FNDR'!$G$4:$G$481,'2025 RESUMEN'!D83)+SUMIFS('FRIL 2025'!$M$3:$M$53,'FRIL 2025'!$G$3:$G$53,'2025 RESUMEN'!$D83)</f>
        <v>157898.44700000001</v>
      </c>
      <c r="M83" s="122">
        <f>SUMIFS('2025 FNDR'!$V$4:$V$500,'2025 FNDR'!$G$4:$G$500,'2025 RESUMEN'!D83)+SUMIFS('FRIL 2025'!$N$3:$N$51,'FRIL 2025'!$G$3:$G$51,'2025 RESUMEN'!$D83)</f>
        <v>10579.486000000001</v>
      </c>
      <c r="N83" s="122">
        <f>SUMIFS('2025 FNDR'!$W$4:$W$356,'2025 FNDR'!$G$4:$G$356,'2025 RESUMEN'!D83)+SUMIFS('FRIL 2025'!$O$3:$O$31,'FRIL 2025'!$G$3:$G$31,'2025 RESUMEN'!$D83)</f>
        <v>0</v>
      </c>
      <c r="O83" s="122">
        <f>SUMIFS('2025 FNDR'!$X$4:$X$387,'2025 FNDR'!$G$4:$G$387,'2025 RESUMEN'!D83)+SUMIFS('FRIL 2025'!$P$3:$P$32,'FRIL 2025'!$G$3:$G$32,'2025 RESUMEN'!$D83)</f>
        <v>0</v>
      </c>
      <c r="P83" s="122">
        <f>SUMIFS('2025 FNDR'!$Y$4:$Y$356,'2025 FNDR'!$G$4:$G$356,'2025 RESUMEN'!D83)+SUMIFS('FRIL 2025'!$Q$3:$Q$33,'FRIL 2025'!$G$3:$G$33,'2025 RESUMEN'!$D83)</f>
        <v>0</v>
      </c>
      <c r="Q83" s="122">
        <f>SUMIFS('2025 FNDR'!$Z$4:$Z$420,'2025 FNDR'!$G$4:$G$420,'2025 RESUMEN'!D83)+SUMIFS('FRIL 2025'!$R$3:$R$34,'FRIL 2025'!$G$3:$G$34,'2025 RESUMEN'!$D83)</f>
        <v>0</v>
      </c>
      <c r="R83" s="122">
        <f>SUMIFS('2025 FNDR'!$AA$4:$AA$435,'2025 FNDR'!$G$4:$G$435,'2025 RESUMEN'!D83)+SUMIFS('FRIL 2025'!$S$3:$S$36,'FRIL 2025'!$G$3:$G$36,'2025 RESUMEN'!$D83)</f>
        <v>0</v>
      </c>
      <c r="S83" s="122">
        <f>SUMIFS('2025 FNDR'!$AB$5:$AB$447,'2025 FNDR'!$G$5:$G$447,'2025 RESUMEN'!D83)+SUMIFS('FRIL 2025'!$T$3:$T$37,'FRIL 2025'!$G$3:$G$37,'2025 RESUMEN'!D83)</f>
        <v>0</v>
      </c>
      <c r="T83" s="72">
        <f t="shared" si="34"/>
        <v>496525.44300000003</v>
      </c>
      <c r="V83" s="71" t="s">
        <v>94</v>
      </c>
      <c r="W83" s="92">
        <f t="shared" si="35"/>
        <v>496525.44300000003</v>
      </c>
    </row>
    <row r="84" spans="4:23" ht="18" customHeight="1">
      <c r="D84" s="292" t="s">
        <v>95</v>
      </c>
      <c r="E84" s="298">
        <v>0</v>
      </c>
      <c r="H84" s="89">
        <f>SUMIFS('2025 FNDR'!$Q$4:$Q$356,'2025 FNDR'!$G$4:$G$356,'2025 RESUMEN'!D84)</f>
        <v>0</v>
      </c>
      <c r="I84" s="89">
        <f>SUMIFS('2025 FNDR'!$R$5:$R$484,'2025 FNDR'!$G$5:$G$484,'2025 RESUMEN'!D84)+SUMIFS('FRIL 2025'!$J$3:$J$52,'FRIL 2025'!$G$3:$G$52,'2025 RESUMEN'!$D84)</f>
        <v>0</v>
      </c>
      <c r="J84" s="89">
        <f>SUMIFS('2025 FNDR'!$S$4:$S$403,'2025 FNDR'!$G$4:$G$403,'2025 RESUMEN'!D84)+SUMIFS('FRIL 2025'!$K$3:$K$53,'FRIL 2025'!$G$3:$G$53,'2025 RESUMEN'!$D84)</f>
        <v>0</v>
      </c>
      <c r="K84" s="89">
        <f>SUMIFS('2025 FNDR'!$T$4:$T$356,'2025 FNDR'!$G$4:$G$356,'2025 RESUMEN'!D84)+SUMIFS('FRIL 2025'!$L$3:$L$53,'FRIL 2025'!$G$3:$G$53,'2025 RESUMEN'!$D84)</f>
        <v>0</v>
      </c>
      <c r="L84" s="89">
        <f>SUMIFS('2025 FNDR'!$U$4:$U$481,'2025 FNDR'!$G$4:$G$481,'2025 RESUMEN'!D84)+SUMIFS('FRIL 2025'!$M$3:$M$53,'FRIL 2025'!$G$3:$G$53,'2025 RESUMEN'!$D84)</f>
        <v>0</v>
      </c>
      <c r="M84" s="122">
        <f>SUMIFS('2025 FNDR'!$V$4:$V$500,'2025 FNDR'!$G$4:$G$500,'2025 RESUMEN'!D84)+SUMIFS('FRIL 2025'!$N$3:$N$51,'FRIL 2025'!$G$3:$G$51,'2025 RESUMEN'!$D84)</f>
        <v>0</v>
      </c>
      <c r="N84" s="122">
        <f>SUMIFS('2025 FNDR'!$W$4:$W$356,'2025 FNDR'!$G$4:$G$356,'2025 RESUMEN'!D84)+SUMIFS('FRIL 2025'!$O$3:$O$31,'FRIL 2025'!$G$3:$G$31,'2025 RESUMEN'!$D84)</f>
        <v>0</v>
      </c>
      <c r="O84" s="122">
        <f>SUMIFS('2025 FNDR'!$X$4:$X$387,'2025 FNDR'!$G$4:$G$387,'2025 RESUMEN'!D84)+SUMIFS('FRIL 2025'!$P$3:$P$32,'FRIL 2025'!$G$3:$G$32,'2025 RESUMEN'!$D84)</f>
        <v>0</v>
      </c>
      <c r="P84" s="122">
        <f>SUMIFS('2025 FNDR'!$Y$4:$Y$356,'2025 FNDR'!$G$4:$G$356,'2025 RESUMEN'!D84)+SUMIFS('FRIL 2025'!$Q$3:$Q$33,'FRIL 2025'!$G$3:$G$33,'2025 RESUMEN'!$D84)</f>
        <v>0</v>
      </c>
      <c r="Q84" s="122">
        <f>SUMIFS('2025 FNDR'!$Z$4:$Z$420,'2025 FNDR'!$G$4:$G$420,'2025 RESUMEN'!D84)+SUMIFS('FRIL 2025'!$R$3:$R$34,'FRIL 2025'!$G$3:$G$34,'2025 RESUMEN'!$D84)</f>
        <v>0</v>
      </c>
      <c r="R84" s="122">
        <f>SUMIFS('2025 FNDR'!$AA$4:$AA$435,'2025 FNDR'!$G$4:$G$435,'2025 RESUMEN'!D84)+SUMIFS('FRIL 2025'!$S$3:$S$36,'FRIL 2025'!$G$3:$G$36,'2025 RESUMEN'!$D84)</f>
        <v>0</v>
      </c>
      <c r="S84" s="122">
        <f>SUMIFS('2025 FNDR'!$AB$5:$AB$447,'2025 FNDR'!$G$5:$G$447,'2025 RESUMEN'!D84)+SUMIFS('FRIL 2025'!$T$3:$T$37,'FRIL 2025'!$G$3:$G$37,'2025 RESUMEN'!D84)</f>
        <v>0</v>
      </c>
      <c r="T84" s="72">
        <f t="shared" si="34"/>
        <v>0</v>
      </c>
      <c r="V84" s="71" t="s">
        <v>95</v>
      </c>
      <c r="W84" s="92">
        <f t="shared" si="35"/>
        <v>0</v>
      </c>
    </row>
    <row r="85" spans="4:23" ht="18" customHeight="1">
      <c r="D85" s="299" t="s">
        <v>96</v>
      </c>
      <c r="E85" s="300">
        <v>10983679</v>
      </c>
      <c r="G85" s="73"/>
      <c r="H85" s="83">
        <f>SUM(H79:H84)</f>
        <v>0</v>
      </c>
      <c r="I85" s="83">
        <f t="shared" ref="I85:R85" si="36">SUM(I79:I84)</f>
        <v>554133.08399999992</v>
      </c>
      <c r="J85" s="83">
        <f t="shared" si="36"/>
        <v>2173807.1800000002</v>
      </c>
      <c r="K85" s="83">
        <f t="shared" si="36"/>
        <v>1317930.1080000002</v>
      </c>
      <c r="L85" s="83">
        <f t="shared" si="36"/>
        <v>1321508.3950000003</v>
      </c>
      <c r="M85" s="83">
        <f t="shared" si="36"/>
        <v>465538.565</v>
      </c>
      <c r="N85" s="83">
        <f t="shared" si="36"/>
        <v>0</v>
      </c>
      <c r="O85" s="83">
        <f t="shared" si="36"/>
        <v>0</v>
      </c>
      <c r="P85" s="83">
        <f t="shared" si="36"/>
        <v>0</v>
      </c>
      <c r="Q85" s="83">
        <f t="shared" si="36"/>
        <v>0</v>
      </c>
      <c r="R85" s="83">
        <f t="shared" si="36"/>
        <v>0</v>
      </c>
      <c r="S85" s="83">
        <f>SUM(S79:S84)</f>
        <v>0</v>
      </c>
      <c r="T85" s="83">
        <f>SUM(T79:T84)</f>
        <v>5832917.3319999995</v>
      </c>
      <c r="V85" s="81" t="s">
        <v>96</v>
      </c>
      <c r="W85" s="82">
        <f>SUM(W79:W84)</f>
        <v>5832917.3319999995</v>
      </c>
    </row>
    <row r="86" spans="4:23" ht="18" customHeight="1">
      <c r="D86" s="292" t="s">
        <v>97</v>
      </c>
      <c r="E86" s="301">
        <v>8932586</v>
      </c>
      <c r="H86" s="90">
        <f>SUMIFS('2025 FNDR'!$Q$4:$Q$356,'2025 FNDR'!$G$4:$G$356,'2025 RESUMEN'!D86)</f>
        <v>0</v>
      </c>
      <c r="I86" s="90">
        <f>SUMIFS('2025 FNDR'!$R$5:$R$484,'2025 FNDR'!$G$5:$G$484,'2025 RESUMEN'!D86)+SUMIFS('FRIL 2025'!$J$3:$J$52,'FRIL 2025'!$G$3:$G$52,'2025 RESUMEN'!$D86)</f>
        <v>321942.20400000003</v>
      </c>
      <c r="J86" s="90">
        <f>SUMIFS('2025 FNDR'!$S$4:$S$403,'2025 FNDR'!$G$4:$G$403,'2025 RESUMEN'!D86)+SUMIFS('FRIL 2025'!$K$3:$K$53,'FRIL 2025'!$G$3:$G$53,'2025 RESUMEN'!$D86)</f>
        <v>0</v>
      </c>
      <c r="K86" s="90">
        <f>SUMIFS('2025 FNDR'!$T$4:$T$356,'2025 FNDR'!$G$4:$G$356,'2025 RESUMEN'!D86)+SUMIFS('FRIL 2025'!$L$3:$L$53,'FRIL 2025'!$G$3:$G$53,'2025 RESUMEN'!$D86)</f>
        <v>75704.262000000002</v>
      </c>
      <c r="L86" s="90">
        <f>SUMIFS('2025 FNDR'!$U$4:$U$481,'2025 FNDR'!$G$4:$G$481,'2025 RESUMEN'!D86)+SUMIFS('FRIL 2025'!$M$3:$M$53,'FRIL 2025'!$G$3:$G$53,'2025 RESUMEN'!$D86)</f>
        <v>338889.89800000004</v>
      </c>
      <c r="M86" s="123">
        <f>SUMIFS('2025 FNDR'!$V$4:$V$500,'2025 FNDR'!$G$4:$G$500,'2025 RESUMEN'!D86)+SUMIFS('FRIL 2025'!$N$3:$N$51,'FRIL 2025'!$G$3:$G$51,'2025 RESUMEN'!$D86)</f>
        <v>290529.11699999997</v>
      </c>
      <c r="N86" s="123">
        <f>SUMIFS('2025 FNDR'!$W$4:$W$356,'2025 FNDR'!$G$4:$G$356,'2025 RESUMEN'!D86)+SUMIFS('FRIL 2025'!$O$3:$O$31,'FRIL 2025'!$G$3:$G$31,'2025 RESUMEN'!$D86)</f>
        <v>0</v>
      </c>
      <c r="O86" s="123">
        <f>SUMIFS('2025 FNDR'!$X$4:$X$387,'2025 FNDR'!$G$4:$G$387,'2025 RESUMEN'!D86)+SUMIFS('FRIL 2025'!$P$3:$P$32,'FRIL 2025'!$G$3:$G$32,'2025 RESUMEN'!$D86)</f>
        <v>0</v>
      </c>
      <c r="P86" s="123">
        <f>SUMIFS('2025 FNDR'!$Y$4:$Y$356,'2025 FNDR'!$G$4:$G$356,'2025 RESUMEN'!D86)+SUMIFS('FRIL 2025'!$Q$3:$Q$33,'FRIL 2025'!$G$3:$G$33,'2025 RESUMEN'!$D86)</f>
        <v>0</v>
      </c>
      <c r="Q86" s="123">
        <f>SUMIFS('2025 FNDR'!$Z$4:$Z$420,'2025 FNDR'!$G$4:$G$420,'2025 RESUMEN'!D86)+SUMIFS('FRIL 2025'!$R$3:$R$34,'FRIL 2025'!$G$3:$G$34,'2025 RESUMEN'!$D86)</f>
        <v>0</v>
      </c>
      <c r="R86" s="123">
        <f>SUMIFS('2025 FNDR'!$AA$4:$AA$435,'2025 FNDR'!$G$4:$G$435,'2025 RESUMEN'!D86)+SUMIFS('FRIL 2025'!$S$3:$S$36,'FRIL 2025'!$G$3:$G$36,'2025 RESUMEN'!$D86)</f>
        <v>0</v>
      </c>
      <c r="S86" s="123">
        <f>SUMIFS('2025 FNDR'!$AB$5:$AB$447,'2025 FNDR'!$G$5:$G$447,'2025 RESUMEN'!D86)+SUMIFS('FRIL 2025'!$T$3:$T$37,'FRIL 2025'!$G$3:$G$37,'2025 RESUMEN'!D86)</f>
        <v>0</v>
      </c>
      <c r="T86" s="72">
        <f>SUMIFS(H86:S86,$H$69:$S$69,"ejecutado")</f>
        <v>1027065.481</v>
      </c>
      <c r="V86" s="71" t="s">
        <v>97</v>
      </c>
      <c r="W86" s="5">
        <f>T86</f>
        <v>1027065.481</v>
      </c>
    </row>
    <row r="87" spans="4:23" ht="18" customHeight="1">
      <c r="D87" s="292" t="s">
        <v>98</v>
      </c>
      <c r="E87" s="301">
        <v>1973970</v>
      </c>
      <c r="H87" s="90">
        <f>SUMIFS('2025 FNDR'!$Q$4:$Q$356,'2025 FNDR'!$G$4:$G$356,'2025 RESUMEN'!D87)</f>
        <v>0</v>
      </c>
      <c r="I87" s="90">
        <f>SUMIFS('2025 FNDR'!$R$5:$R$484,'2025 FNDR'!$G$5:$G$484,'2025 RESUMEN'!D87)+SUMIFS('FRIL 2025'!$J$3:$J$52,'FRIL 2025'!$G$3:$G$52,'2025 RESUMEN'!$D87)</f>
        <v>193362.022</v>
      </c>
      <c r="J87" s="90">
        <f>SUMIFS('2025 FNDR'!$S$4:$S$403,'2025 FNDR'!$G$4:$G$403,'2025 RESUMEN'!D87)+SUMIFS('FRIL 2025'!$K$3:$K$53,'FRIL 2025'!$G$3:$G$53,'2025 RESUMEN'!$D87)</f>
        <v>560738.723</v>
      </c>
      <c r="K87" s="90">
        <f>SUMIFS('2025 FNDR'!$T$4:$T$356,'2025 FNDR'!$G$4:$G$356,'2025 RESUMEN'!D87)+SUMIFS('FRIL 2025'!$L$3:$L$53,'FRIL 2025'!$G$3:$G$53,'2025 RESUMEN'!$D87)</f>
        <v>444654.03499999997</v>
      </c>
      <c r="L87" s="90">
        <f>SUMIFS('2025 FNDR'!$U$4:$U$481,'2025 FNDR'!$G$4:$G$481,'2025 RESUMEN'!D87)+SUMIFS('FRIL 2025'!$M$3:$M$53,'FRIL 2025'!$G$3:$G$53,'2025 RESUMEN'!$D87)</f>
        <v>357757.01299999998</v>
      </c>
      <c r="M87" s="123">
        <f>SUMIFS('2025 FNDR'!$V$4:$V$500,'2025 FNDR'!$G$4:$G$500,'2025 RESUMEN'!D87)+SUMIFS('FRIL 2025'!$N$3:$N$51,'FRIL 2025'!$G$3:$G$51,'2025 RESUMEN'!$D87)</f>
        <v>493549.45900000003</v>
      </c>
      <c r="N87" s="123">
        <f>SUMIFS('2025 FNDR'!$W$4:$W$356,'2025 FNDR'!$G$4:$G$356,'2025 RESUMEN'!D87)+SUMIFS('FRIL 2025'!$O$3:$O$31,'FRIL 2025'!$G$3:$G$31,'2025 RESUMEN'!$D87)</f>
        <v>0</v>
      </c>
      <c r="O87" s="123">
        <f>SUMIFS('2025 FNDR'!$X$4:$X$387,'2025 FNDR'!$G$4:$G$387,'2025 RESUMEN'!D87)+SUMIFS('FRIL 2025'!$P$3:$P$32,'FRIL 2025'!$G$3:$G$32,'2025 RESUMEN'!$D87)</f>
        <v>0</v>
      </c>
      <c r="P87" s="123">
        <f>SUMIFS('2025 FNDR'!$Y$4:$Y$356,'2025 FNDR'!$G$4:$G$356,'2025 RESUMEN'!D87)+SUMIFS('FRIL 2025'!$Q$3:$Q$33,'FRIL 2025'!$G$3:$G$33,'2025 RESUMEN'!$D87)</f>
        <v>0</v>
      </c>
      <c r="Q87" s="123">
        <f>SUMIFS('2025 FNDR'!$Z$4:$Z$420,'2025 FNDR'!$G$4:$G$420,'2025 RESUMEN'!D87)+SUMIFS('FRIL 2025'!$R$3:$R$34,'FRIL 2025'!$G$3:$G$34,'2025 RESUMEN'!$D87)</f>
        <v>0</v>
      </c>
      <c r="R87" s="123">
        <f>SUMIFS('2025 FNDR'!$AA$4:$AA$435,'2025 FNDR'!$G$4:$G$435,'2025 RESUMEN'!D87)+SUMIFS('FRIL 2025'!$S$3:$S$36,'FRIL 2025'!$G$3:$G$36,'2025 RESUMEN'!$D87)</f>
        <v>0</v>
      </c>
      <c r="S87" s="123">
        <f>SUMIFS('2025 FNDR'!$AB$5:$AB$447,'2025 FNDR'!$G$5:$G$447,'2025 RESUMEN'!D87)+SUMIFS('FRIL 2025'!$T$3:$T$37,'FRIL 2025'!$G$3:$G$37,'2025 RESUMEN'!D87)</f>
        <v>0</v>
      </c>
      <c r="T87" s="72">
        <f>SUMIFS(H87:S87,$H$69:$S$69,"ejecutado")</f>
        <v>2050061.2520000001</v>
      </c>
      <c r="V87" s="71" t="s">
        <v>98</v>
      </c>
      <c r="W87" s="5">
        <f t="shared" ref="W87:W90" si="37">T87</f>
        <v>2050061.2520000001</v>
      </c>
    </row>
    <row r="88" spans="4:23" ht="18" customHeight="1">
      <c r="D88" s="292" t="s">
        <v>99</v>
      </c>
      <c r="E88" s="301">
        <v>1827610</v>
      </c>
      <c r="H88" s="90">
        <f>SUMIFS('2025 FNDR'!$Q$4:$Q$356,'2025 FNDR'!$G$4:$G$356,'2025 RESUMEN'!D88)</f>
        <v>0</v>
      </c>
      <c r="I88" s="90">
        <f>SUMIFS('2025 FNDR'!$R$5:$R$484,'2025 FNDR'!$G$5:$G$484,'2025 RESUMEN'!D88)+SUMIFS('FRIL 2025'!$J$3:$J$52,'FRIL 2025'!$G$3:$G$52,'2025 RESUMEN'!$D88)</f>
        <v>168358.45300000001</v>
      </c>
      <c r="J88" s="90">
        <f>SUMIFS('2025 FNDR'!$S$4:$S$403,'2025 FNDR'!$G$4:$G$403,'2025 RESUMEN'!D88)+SUMIFS('FRIL 2025'!$K$3:$K$53,'FRIL 2025'!$G$3:$G$53,'2025 RESUMEN'!$D88)</f>
        <v>0</v>
      </c>
      <c r="K88" s="90">
        <f>SUMIFS('2025 FNDR'!$T$4:$T$356,'2025 FNDR'!$G$4:$G$356,'2025 RESUMEN'!D88)+SUMIFS('FRIL 2025'!$L$3:$L$53,'FRIL 2025'!$G$3:$G$53,'2025 RESUMEN'!$D88)</f>
        <v>0</v>
      </c>
      <c r="L88" s="90">
        <f>SUMIFS('2025 FNDR'!$U$4:$U$481,'2025 FNDR'!$G$4:$G$481,'2025 RESUMEN'!D88)+SUMIFS('FRIL 2025'!$M$3:$M$53,'FRIL 2025'!$G$3:$G$53,'2025 RESUMEN'!$D88)</f>
        <v>328914.35700000002</v>
      </c>
      <c r="M88" s="123">
        <f>SUMIFS('2025 FNDR'!$V$4:$V$500,'2025 FNDR'!$G$4:$G$500,'2025 RESUMEN'!D88)+SUMIFS('FRIL 2025'!$N$3:$N$51,'FRIL 2025'!$G$3:$G$51,'2025 RESUMEN'!$D88)</f>
        <v>80730.459000000003</v>
      </c>
      <c r="N88" s="123">
        <f>SUMIFS('2025 FNDR'!$W$4:$W$356,'2025 FNDR'!$G$4:$G$356,'2025 RESUMEN'!D88)+SUMIFS('FRIL 2025'!$O$3:$O$31,'FRIL 2025'!$G$3:$G$31,'2025 RESUMEN'!$D88)</f>
        <v>0</v>
      </c>
      <c r="O88" s="123">
        <f>SUMIFS('2025 FNDR'!$X$4:$X$387,'2025 FNDR'!$G$4:$G$387,'2025 RESUMEN'!D88)+SUMIFS('FRIL 2025'!$P$3:$P$32,'FRIL 2025'!$G$3:$G$32,'2025 RESUMEN'!$D88)</f>
        <v>0</v>
      </c>
      <c r="P88" s="123">
        <f>SUMIFS('2025 FNDR'!$Y$4:$Y$356,'2025 FNDR'!$G$4:$G$356,'2025 RESUMEN'!D88)+SUMIFS('FRIL 2025'!$Q$3:$Q$33,'FRIL 2025'!$G$3:$G$33,'2025 RESUMEN'!$D88)</f>
        <v>0</v>
      </c>
      <c r="Q88" s="123">
        <f>SUMIFS('2025 FNDR'!$Z$4:$Z$420,'2025 FNDR'!$G$4:$G$420,'2025 RESUMEN'!D88)+SUMIFS('FRIL 2025'!$R$3:$R$34,'FRIL 2025'!$G$3:$G$34,'2025 RESUMEN'!$D88)</f>
        <v>0</v>
      </c>
      <c r="R88" s="123">
        <f>SUMIFS('2025 FNDR'!$AA$4:$AA$435,'2025 FNDR'!$G$4:$G$435,'2025 RESUMEN'!D88)+SUMIFS('FRIL 2025'!$S$3:$S$36,'FRIL 2025'!$G$3:$G$36,'2025 RESUMEN'!$D88)</f>
        <v>0</v>
      </c>
      <c r="S88" s="123">
        <f>SUMIFS('2025 FNDR'!$AB$5:$AB$447,'2025 FNDR'!$G$5:$G$447,'2025 RESUMEN'!D88)+SUMIFS('FRIL 2025'!$T$3:$T$37,'FRIL 2025'!$G$3:$G$37,'2025 RESUMEN'!D88)</f>
        <v>0</v>
      </c>
      <c r="T88" s="72">
        <f>SUMIFS(H88:S88,$H$69:$S$69,"ejecutado")</f>
        <v>578003.26900000009</v>
      </c>
      <c r="V88" s="71" t="s">
        <v>99</v>
      </c>
      <c r="W88" s="5">
        <f t="shared" si="37"/>
        <v>578003.26900000009</v>
      </c>
    </row>
    <row r="89" spans="4:23" ht="18" customHeight="1">
      <c r="D89" s="292" t="s">
        <v>100</v>
      </c>
      <c r="E89" s="301">
        <v>641912</v>
      </c>
      <c r="H89" s="90">
        <f>SUMIFS('2025 FNDR'!$Q$4:$Q$356,'2025 FNDR'!$G$4:$G$356,'2025 RESUMEN'!D89)</f>
        <v>0</v>
      </c>
      <c r="I89" s="90">
        <f>SUMIFS('2025 FNDR'!$R$5:$R$484,'2025 FNDR'!$G$5:$G$484,'2025 RESUMEN'!D89)+SUMIFS('FRIL 2025'!$J$3:$J$52,'FRIL 2025'!$G$3:$G$52,'2025 RESUMEN'!$D89)</f>
        <v>197998.77799999999</v>
      </c>
      <c r="J89" s="90">
        <f>SUMIFS('2025 FNDR'!$S$4:$S$403,'2025 FNDR'!$G$4:$G$403,'2025 RESUMEN'!D89)+SUMIFS('FRIL 2025'!$K$3:$K$53,'FRIL 2025'!$G$3:$G$53,'2025 RESUMEN'!$D89)</f>
        <v>141914.342</v>
      </c>
      <c r="K89" s="90">
        <f>SUMIFS('2025 FNDR'!$T$4:$T$356,'2025 FNDR'!$G$4:$G$356,'2025 RESUMEN'!D89)+SUMIFS('FRIL 2025'!$L$3:$L$53,'FRIL 2025'!$G$3:$G$53,'2025 RESUMEN'!$D89)</f>
        <v>22294.834999999999</v>
      </c>
      <c r="L89" s="90">
        <f>SUMIFS('2025 FNDR'!$U$4:$U$481,'2025 FNDR'!$G$4:$G$481,'2025 RESUMEN'!D89)+SUMIFS('FRIL 2025'!$M$3:$M$53,'FRIL 2025'!$G$3:$G$53,'2025 RESUMEN'!$D89)</f>
        <v>294905.16400000005</v>
      </c>
      <c r="M89" s="123">
        <f>SUMIFS('2025 FNDR'!$V$4:$V$500,'2025 FNDR'!$G$4:$G$500,'2025 RESUMEN'!D89)+SUMIFS('FRIL 2025'!$N$3:$N$51,'FRIL 2025'!$G$3:$G$51,'2025 RESUMEN'!$D89)</f>
        <v>27758.100999999999</v>
      </c>
      <c r="N89" s="123">
        <f>SUMIFS('2025 FNDR'!$W$4:$W$356,'2025 FNDR'!$G$4:$G$356,'2025 RESUMEN'!D89)+SUMIFS('FRIL 2025'!$O$3:$O$31,'FRIL 2025'!$G$3:$G$31,'2025 RESUMEN'!$D89)</f>
        <v>0</v>
      </c>
      <c r="O89" s="123">
        <f>SUMIFS('2025 FNDR'!$X$4:$X$387,'2025 FNDR'!$G$4:$G$387,'2025 RESUMEN'!D89)+SUMIFS('FRIL 2025'!$P$3:$P$32,'FRIL 2025'!$G$3:$G$32,'2025 RESUMEN'!$D89)</f>
        <v>0</v>
      </c>
      <c r="P89" s="123">
        <f>SUMIFS('2025 FNDR'!$Y$4:$Y$356,'2025 FNDR'!$G$4:$G$356,'2025 RESUMEN'!D89)+SUMIFS('FRIL 2025'!$Q$3:$Q$33,'FRIL 2025'!$G$3:$G$33,'2025 RESUMEN'!$D89)</f>
        <v>0</v>
      </c>
      <c r="Q89" s="123">
        <f>SUMIFS('2025 FNDR'!$Z$4:$Z$420,'2025 FNDR'!$G$4:$G$420,'2025 RESUMEN'!D89)+SUMIFS('FRIL 2025'!$R$3:$R$34,'FRIL 2025'!$G$3:$G$34,'2025 RESUMEN'!$D89)</f>
        <v>0</v>
      </c>
      <c r="R89" s="123">
        <f>SUMIFS('2025 FNDR'!$AA$4:$AA$435,'2025 FNDR'!$G$4:$G$435,'2025 RESUMEN'!D89)+SUMIFS('FRIL 2025'!$S$3:$S$36,'FRIL 2025'!$G$3:$G$36,'2025 RESUMEN'!$D89)</f>
        <v>0</v>
      </c>
      <c r="S89" s="123">
        <f>SUMIFS('2025 FNDR'!$AB$5:$AB$447,'2025 FNDR'!$G$5:$G$447,'2025 RESUMEN'!D89)+SUMIFS('FRIL 2025'!$T$3:$T$37,'FRIL 2025'!$G$3:$G$37,'2025 RESUMEN'!D89)</f>
        <v>0</v>
      </c>
      <c r="T89" s="72">
        <f>SUMIFS(H89:S89,$H$69:$S$69,"ejecutado")</f>
        <v>684871.22000000009</v>
      </c>
      <c r="V89" s="71" t="s">
        <v>100</v>
      </c>
      <c r="W89" s="5">
        <f t="shared" si="37"/>
        <v>684871.22000000009</v>
      </c>
    </row>
    <row r="90" spans="4:23" ht="18" customHeight="1">
      <c r="D90" s="292" t="s">
        <v>101</v>
      </c>
      <c r="E90" s="302">
        <v>0</v>
      </c>
      <c r="H90" s="90">
        <f>SUMIFS('2025 FNDR'!$Q$4:$Q$356,'2025 FNDR'!$G$4:$G$356,'2025 RESUMEN'!D90)</f>
        <v>0</v>
      </c>
      <c r="I90" s="90">
        <f>SUMIFS('2025 FNDR'!$R$5:$R$484,'2025 FNDR'!$G$5:$G$484,'2025 RESUMEN'!D90)+SUMIFS('FRIL 2025'!$J$3:$J$52,'FRIL 2025'!$G$3:$G$52,'2025 RESUMEN'!$D90)</f>
        <v>0</v>
      </c>
      <c r="J90" s="90">
        <f>SUMIFS('2025 FNDR'!$S$4:$S$403,'2025 FNDR'!$G$4:$G$403,'2025 RESUMEN'!D90)+SUMIFS('FRIL 2025'!$K$3:$K$53,'FRIL 2025'!$G$3:$G$53,'2025 RESUMEN'!$D90)</f>
        <v>0</v>
      </c>
      <c r="K90" s="90">
        <f>SUMIFS('2025 FNDR'!$T$4:$T$356,'2025 FNDR'!$G$4:$G$356,'2025 RESUMEN'!D90)+SUMIFS('FRIL 2025'!$L$3:$L$53,'FRIL 2025'!$G$3:$G$53,'2025 RESUMEN'!$D90)</f>
        <v>0</v>
      </c>
      <c r="L90" s="90">
        <f>SUMIFS('2025 FNDR'!$U$4:$U$481,'2025 FNDR'!$G$4:$G$481,'2025 RESUMEN'!D90)+SUMIFS('FRIL 2025'!$M$3:$M$53,'FRIL 2025'!$G$3:$G$53,'2025 RESUMEN'!$D90)</f>
        <v>0</v>
      </c>
      <c r="M90" s="123">
        <f>SUMIFS('2025 FNDR'!$V$4:$V$500,'2025 FNDR'!$G$4:$G$500,'2025 RESUMEN'!D90)+SUMIFS('FRIL 2025'!$N$3:$N$51,'FRIL 2025'!$G$3:$G$51,'2025 RESUMEN'!$D90)</f>
        <v>0</v>
      </c>
      <c r="N90" s="123">
        <f>SUMIFS('2025 FNDR'!$W$4:$W$356,'2025 FNDR'!$G$4:$G$356,'2025 RESUMEN'!D90)+SUMIFS('FRIL 2025'!$O$3:$O$31,'FRIL 2025'!$G$3:$G$31,'2025 RESUMEN'!$D90)</f>
        <v>0</v>
      </c>
      <c r="O90" s="123">
        <f>SUMIFS('2025 FNDR'!$X$4:$X$387,'2025 FNDR'!$G$4:$G$387,'2025 RESUMEN'!D90)+SUMIFS('FRIL 2025'!$P$3:$P$32,'FRIL 2025'!$G$3:$G$32,'2025 RESUMEN'!$D90)</f>
        <v>0</v>
      </c>
      <c r="P90" s="123">
        <f>SUMIFS('2025 FNDR'!$Y$4:$Y$356,'2025 FNDR'!$G$4:$G$356,'2025 RESUMEN'!D90)+SUMIFS('FRIL 2025'!$Q$3:$Q$33,'FRIL 2025'!$G$3:$G$33,'2025 RESUMEN'!$D90)</f>
        <v>0</v>
      </c>
      <c r="Q90" s="123">
        <f>SUMIFS('2025 FNDR'!$Z$4:$Z$420,'2025 FNDR'!$G$4:$G$420,'2025 RESUMEN'!D90)+SUMIFS('FRIL 2025'!$R$3:$R$34,'FRIL 2025'!$G$3:$G$34,'2025 RESUMEN'!$D90)</f>
        <v>0</v>
      </c>
      <c r="R90" s="123">
        <f>SUMIFS('2025 FNDR'!$AA$4:$AA$435,'2025 FNDR'!$G$4:$G$435,'2025 RESUMEN'!D90)+SUMIFS('FRIL 2025'!$S$3:$S$36,'FRIL 2025'!$G$3:$G$36,'2025 RESUMEN'!$D90)</f>
        <v>0</v>
      </c>
      <c r="S90" s="123">
        <f>SUMIFS('2025 FNDR'!$AB$5:$AB$447,'2025 FNDR'!$G$5:$G$447,'2025 RESUMEN'!D90)+SUMIFS('FRIL 2025'!$T$3:$T$37,'FRIL 2025'!$G$3:$G$37,'2025 RESUMEN'!D90)</f>
        <v>0</v>
      </c>
      <c r="T90" s="72">
        <f>SUMIFS(H90:S90,$H$69:$S$69,"ejecutado")</f>
        <v>0</v>
      </c>
      <c r="V90" s="71" t="s">
        <v>101</v>
      </c>
      <c r="W90" s="5">
        <f t="shared" si="37"/>
        <v>0</v>
      </c>
    </row>
    <row r="91" spans="4:23" ht="18" customHeight="1">
      <c r="D91" s="303" t="s">
        <v>102</v>
      </c>
      <c r="E91" s="304">
        <v>13376078</v>
      </c>
      <c r="H91" s="86">
        <f>SUM(H86:H90)</f>
        <v>0</v>
      </c>
      <c r="I91" s="86">
        <f>SUM(I86:I90)</f>
        <v>881661.45699999994</v>
      </c>
      <c r="J91" s="86">
        <f t="shared" ref="J91:S91" si="38">SUM(J86:J90)</f>
        <v>702653.06499999994</v>
      </c>
      <c r="K91" s="86">
        <f t="shared" si="38"/>
        <v>542653.13199999998</v>
      </c>
      <c r="L91" s="86">
        <f t="shared" si="38"/>
        <v>1320466.4320000003</v>
      </c>
      <c r="M91" s="86">
        <f t="shared" si="38"/>
        <v>892567.13600000006</v>
      </c>
      <c r="N91" s="86">
        <f t="shared" si="38"/>
        <v>0</v>
      </c>
      <c r="O91" s="86">
        <f t="shared" si="38"/>
        <v>0</v>
      </c>
      <c r="P91" s="86">
        <f t="shared" si="38"/>
        <v>0</v>
      </c>
      <c r="Q91" s="86">
        <f>SUM(Q86:Q90)</f>
        <v>0</v>
      </c>
      <c r="R91" s="86">
        <f t="shared" si="38"/>
        <v>0</v>
      </c>
      <c r="S91" s="86">
        <f t="shared" si="38"/>
        <v>0</v>
      </c>
      <c r="T91" s="86">
        <f>SUM(T86:T90)</f>
        <v>4340001.2220000001</v>
      </c>
      <c r="V91" s="84" t="s">
        <v>102</v>
      </c>
      <c r="W91" s="85">
        <f>SUM(W86:W90)</f>
        <v>4340001.2220000001</v>
      </c>
    </row>
    <row r="92" spans="4:23" ht="18" customHeight="1">
      <c r="D92" s="305" t="s">
        <v>103</v>
      </c>
      <c r="E92" s="306">
        <v>13875231</v>
      </c>
      <c r="G92" s="73"/>
      <c r="H92" s="95">
        <f>SUMIFS('2025 FNDR'!$Q$4:$Q$356,'2025 FNDR'!$G$4:$G$356,'2025 RESUMEN'!D92)</f>
        <v>0</v>
      </c>
      <c r="I92" s="95">
        <f>SUMIFS('2025 FNDR'!$R$5:$R$484,'2025 FNDR'!$G$5:$G$484,'2025 RESUMEN'!D92)</f>
        <v>725227.07400000002</v>
      </c>
      <c r="J92" s="95">
        <f>SUMIFS('2025 FNDR'!$S$4:$S$403,'2025 FNDR'!$G$4:$G$403,'2025 RESUMEN'!D92)+SUMIFS('FRIL 2025'!$K$3:$K$53,'FRIL 2025'!$G$3:$G$53,'2025 RESUMEN'!$D76)</f>
        <v>462981.01400000002</v>
      </c>
      <c r="K92" s="95">
        <f>SUMIFS('2025 FNDR'!$T$4:$T$356,'2025 FNDR'!$G$4:$G$356,'2025 RESUMEN'!D92)</f>
        <v>278281.08400000003</v>
      </c>
      <c r="L92" s="95">
        <f>SUMIFS('2025 FNDR'!$U$4:$U$481,'2025 FNDR'!$G$4:$G$481,'2025 RESUMEN'!D92)</f>
        <v>865210.87300000002</v>
      </c>
      <c r="M92" s="131">
        <f>SUMIFS('2025 FNDR'!$V$4:$V$369,'2025 FNDR'!$G$4:$G$369,'2025 RESUMEN'!D92)+SUMIFS('FRIL 2025'!$M$3:$M$51,'FRIL 2025'!$G$3:$G$51,'2025 RESUMEN'!$D92)</f>
        <v>635816.94700000004</v>
      </c>
      <c r="N92" s="131">
        <f>SUMIFS('2025 FNDR'!$W$4:$W$356,'2025 FNDR'!$G$4:$G$356,'2025 RESUMEN'!D92)+SUMIFS('FRIL 2025'!$O$3:$O$30,'FRIL 2025'!$G$3:$G$30,'2025 RESUMEN'!$D92)</f>
        <v>0</v>
      </c>
      <c r="O92" s="131">
        <f>SUMIFS('2025 FNDR'!$X$4:$X$387,'2025 FNDR'!$G$4:$G$387,'2025 RESUMEN'!D92)+SUMIFS('FRIL 2025'!$O$3:$O$32,'FRIL 2025'!$G$3:$G$32,'2025 RESUMEN'!$D92)</f>
        <v>0</v>
      </c>
      <c r="P92" s="131">
        <f>SUMIFS('2025 FNDR'!$Y$4:$Y$356,'2025 FNDR'!$G$4:$G$356,'2025 RESUMEN'!D92)+SUMIFS('FRIL 2025'!$Q$3:$Q$33,'FRIL 2025'!$G$3:$G$33,'2025 RESUMEN'!$D92)</f>
        <v>0</v>
      </c>
      <c r="Q92" s="131">
        <f>SUMIFS('2025 FNDR'!$Z$4:$Z$420,'2025 FNDR'!$G$4:$G$420,'2025 RESUMEN'!D92)</f>
        <v>0</v>
      </c>
      <c r="R92" s="131">
        <f>SUMIFS('2025 FNDR'!$AA$4:$AA$435,'2025 FNDR'!$G$4:$G$435,'2025 RESUMEN'!D92)+SUMIFS('FRIL 2025'!$R$3:$R$36,'FRIL 2025'!$G$3:$G$36,'2025 RESUMEN'!$D92)</f>
        <v>0</v>
      </c>
      <c r="S92" s="131">
        <f>SUMIFS('2025 FNDR'!$AB$4:$AB$447,'2025 FNDR'!$G$4:$G$447,'2025 RESUMEN'!D92)</f>
        <v>0</v>
      </c>
      <c r="T92" s="95">
        <f>SUMIFS(H92:S92,$H$69:$S$69,"ejecutado")</f>
        <v>2967516.9920000001</v>
      </c>
      <c r="V92" s="93" t="s">
        <v>103</v>
      </c>
      <c r="W92" s="94">
        <f>T92</f>
        <v>2967516.9920000001</v>
      </c>
    </row>
    <row r="93" spans="4:23" ht="24" customHeight="1">
      <c r="D93" s="307" t="s">
        <v>104</v>
      </c>
      <c r="E93" s="301">
        <v>44169122</v>
      </c>
      <c r="G93" s="73"/>
      <c r="H93" s="72">
        <f>H78+H85+H91+H92</f>
        <v>0</v>
      </c>
      <c r="I93" s="72">
        <f>I78+I85+I91+I92</f>
        <v>2916644.8159999996</v>
      </c>
      <c r="J93" s="72">
        <f>J78+J85+J91+J92</f>
        <v>3569580.9029999999</v>
      </c>
      <c r="K93" s="72">
        <f t="shared" ref="K93:Q93" si="39">K78+K85+K91+K92</f>
        <v>2698482.8020000001</v>
      </c>
      <c r="L93" s="72">
        <f>L78+L85+L91+L92</f>
        <v>4332956.2030000007</v>
      </c>
      <c r="M93" s="72">
        <f>M78+M85+M91+M92</f>
        <v>2961260.6770000001</v>
      </c>
      <c r="N93" s="72">
        <f t="shared" si="39"/>
        <v>0</v>
      </c>
      <c r="O93" s="72">
        <f>O78+O85+O91+O92</f>
        <v>0</v>
      </c>
      <c r="P93" s="72">
        <f t="shared" si="39"/>
        <v>0</v>
      </c>
      <c r="Q93" s="72">
        <f t="shared" si="39"/>
        <v>0</v>
      </c>
      <c r="R93" s="72">
        <f>R78+R85+R91+R92</f>
        <v>0</v>
      </c>
      <c r="S93" s="72">
        <f>S78+S85+S91+S92</f>
        <v>0</v>
      </c>
      <c r="T93" s="72">
        <f>T78+T85+T91+T92</f>
        <v>16478925.400999999</v>
      </c>
      <c r="U93" s="87"/>
      <c r="V93" s="237" t="s">
        <v>104</v>
      </c>
      <c r="W93" s="5">
        <f>W78+W85+W91+W92</f>
        <v>16478925.400999999</v>
      </c>
    </row>
    <row r="94" spans="4:23" ht="18" customHeight="1">
      <c r="D94" s="65"/>
      <c r="E94" s="75"/>
      <c r="H94" s="320" t="s">
        <v>105</v>
      </c>
      <c r="I94" s="320"/>
      <c r="J94" s="320"/>
      <c r="K94" s="320"/>
      <c r="L94" s="320"/>
      <c r="M94" s="320"/>
      <c r="N94" s="320"/>
      <c r="O94" s="320"/>
      <c r="P94" s="320"/>
      <c r="Q94" s="320"/>
    </row>
    <row r="95" spans="4:23" ht="18" hidden="1" customHeight="1">
      <c r="D95" s="65"/>
      <c r="E95" s="75"/>
      <c r="H95" s="87">
        <f t="shared" ref="H95:T95" si="40">H41-H93</f>
        <v>0</v>
      </c>
      <c r="I95" s="87">
        <f t="shared" si="40"/>
        <v>0</v>
      </c>
      <c r="J95" s="87">
        <f t="shared" si="40"/>
        <v>0</v>
      </c>
      <c r="K95" s="87">
        <f t="shared" si="40"/>
        <v>0</v>
      </c>
      <c r="L95" s="87">
        <f t="shared" si="40"/>
        <v>0</v>
      </c>
      <c r="M95" s="87">
        <f t="shared" si="40"/>
        <v>0</v>
      </c>
      <c r="N95" s="87">
        <f t="shared" si="40"/>
        <v>0</v>
      </c>
      <c r="O95" s="87">
        <f t="shared" si="40"/>
        <v>0</v>
      </c>
      <c r="P95" s="87">
        <f t="shared" si="40"/>
        <v>0</v>
      </c>
      <c r="Q95" s="87">
        <f t="shared" si="40"/>
        <v>0</v>
      </c>
      <c r="R95" s="87">
        <f t="shared" si="40"/>
        <v>0</v>
      </c>
      <c r="S95" s="87">
        <f t="shared" si="40"/>
        <v>0</v>
      </c>
      <c r="T95" s="87">
        <f t="shared" si="40"/>
        <v>0</v>
      </c>
      <c r="U95" s="87"/>
      <c r="V95" s="87"/>
    </row>
    <row r="96" spans="4:23" ht="18" customHeight="1">
      <c r="D96" s="65"/>
      <c r="E96" s="75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14"/>
    </row>
    <row r="97" spans="3:23" ht="18" customHeight="1">
      <c r="D97" s="65"/>
      <c r="E97" s="75"/>
      <c r="H97" s="69" t="str">
        <f>H69</f>
        <v>EJECUTADO</v>
      </c>
      <c r="I97" s="69" t="str">
        <f t="shared" ref="I97:T97" si="41">I69</f>
        <v>EJECUTADO</v>
      </c>
      <c r="J97" s="69" t="str">
        <f t="shared" si="41"/>
        <v>EJECUTADO</v>
      </c>
      <c r="K97" s="69" t="str">
        <f t="shared" si="41"/>
        <v>EJECUTADO</v>
      </c>
      <c r="L97" s="69" t="str">
        <f t="shared" si="41"/>
        <v>EJECUTADO</v>
      </c>
      <c r="M97" s="69" t="str">
        <f t="shared" si="41"/>
        <v>EJECUTADO</v>
      </c>
      <c r="N97" s="69" t="str">
        <f t="shared" si="41"/>
        <v>EJECUTADO</v>
      </c>
      <c r="O97" s="69" t="str">
        <f t="shared" si="41"/>
        <v>EJECUTADO</v>
      </c>
      <c r="P97" s="69" t="str">
        <f t="shared" si="41"/>
        <v>EJECUTADO</v>
      </c>
      <c r="Q97" s="69" t="str">
        <f t="shared" si="41"/>
        <v>EJECUTADO</v>
      </c>
      <c r="R97" s="69" t="str">
        <f t="shared" si="41"/>
        <v>EJECUTADO</v>
      </c>
      <c r="S97" s="69" t="str">
        <f t="shared" si="41"/>
        <v>EJECUTADO</v>
      </c>
      <c r="T97" s="69" t="str">
        <f t="shared" si="41"/>
        <v>AÑO</v>
      </c>
      <c r="V97" s="68" t="s">
        <v>106</v>
      </c>
      <c r="W97" s="96" t="s">
        <v>81</v>
      </c>
    </row>
    <row r="98" spans="3:23" ht="21.75" customHeight="1">
      <c r="D98" s="68" t="s">
        <v>106</v>
      </c>
      <c r="E98" s="291" t="s">
        <v>80</v>
      </c>
      <c r="H98" s="70">
        <f>H70</f>
        <v>45658</v>
      </c>
      <c r="I98" s="70">
        <f t="shared" ref="I98:T98" si="42">I70</f>
        <v>45689</v>
      </c>
      <c r="J98" s="70">
        <f t="shared" si="42"/>
        <v>45717</v>
      </c>
      <c r="K98" s="70">
        <f t="shared" si="42"/>
        <v>45748</v>
      </c>
      <c r="L98" s="70">
        <f t="shared" si="42"/>
        <v>45778</v>
      </c>
      <c r="M98" s="70">
        <f t="shared" si="42"/>
        <v>45809</v>
      </c>
      <c r="N98" s="70">
        <f t="shared" si="42"/>
        <v>45839</v>
      </c>
      <c r="O98" s="70">
        <f t="shared" si="42"/>
        <v>45870</v>
      </c>
      <c r="P98" s="70">
        <f t="shared" si="42"/>
        <v>45901</v>
      </c>
      <c r="Q98" s="70">
        <f t="shared" si="42"/>
        <v>45931</v>
      </c>
      <c r="R98" s="70">
        <f t="shared" si="42"/>
        <v>45962</v>
      </c>
      <c r="S98" s="70">
        <f t="shared" si="42"/>
        <v>45992</v>
      </c>
      <c r="T98" s="97">
        <f t="shared" si="42"/>
        <v>2025</v>
      </c>
      <c r="V98" s="78" t="s">
        <v>107</v>
      </c>
      <c r="W98" s="80">
        <f>T99</f>
        <v>3338489.8549999995</v>
      </c>
    </row>
    <row r="99" spans="3:23" ht="18" customHeight="1">
      <c r="D99" s="78" t="s">
        <v>107</v>
      </c>
      <c r="E99" s="80">
        <f>E78</f>
        <v>5934134</v>
      </c>
      <c r="G99" s="14"/>
      <c r="H99" s="80">
        <f>H78</f>
        <v>0</v>
      </c>
      <c r="I99" s="80">
        <f t="shared" ref="I99:S99" si="43">I78</f>
        <v>755623.201</v>
      </c>
      <c r="J99" s="80">
        <f t="shared" si="43"/>
        <v>230139.64399999997</v>
      </c>
      <c r="K99" s="80">
        <f>K78</f>
        <v>559618.47799999989</v>
      </c>
      <c r="L99" s="80">
        <f t="shared" si="43"/>
        <v>825770.50300000014</v>
      </c>
      <c r="M99" s="80">
        <f t="shared" si="43"/>
        <v>967338.02899999998</v>
      </c>
      <c r="N99" s="80">
        <f t="shared" si="43"/>
        <v>0</v>
      </c>
      <c r="O99" s="80">
        <f t="shared" si="43"/>
        <v>0</v>
      </c>
      <c r="P99" s="80">
        <f t="shared" si="43"/>
        <v>0</v>
      </c>
      <c r="Q99" s="80">
        <f t="shared" si="43"/>
        <v>0</v>
      </c>
      <c r="R99" s="80">
        <f t="shared" si="43"/>
        <v>0</v>
      </c>
      <c r="S99" s="80">
        <f t="shared" si="43"/>
        <v>0</v>
      </c>
      <c r="T99" s="80">
        <f>T78</f>
        <v>3338489.8549999995</v>
      </c>
      <c r="V99" s="81" t="s">
        <v>108</v>
      </c>
      <c r="W99" s="83">
        <f>T100</f>
        <v>5832917.3319999995</v>
      </c>
    </row>
    <row r="100" spans="3:23" ht="18" customHeight="1">
      <c r="D100" s="81" t="s">
        <v>108</v>
      </c>
      <c r="E100" s="83">
        <f>E85</f>
        <v>10983679</v>
      </c>
      <c r="G100" s="14"/>
      <c r="H100" s="83">
        <f>H85</f>
        <v>0</v>
      </c>
      <c r="I100" s="83">
        <f t="shared" ref="I100:S100" si="44">I85</f>
        <v>554133.08399999992</v>
      </c>
      <c r="J100" s="83">
        <f t="shared" si="44"/>
        <v>2173807.1800000002</v>
      </c>
      <c r="K100" s="83">
        <f t="shared" si="44"/>
        <v>1317930.1080000002</v>
      </c>
      <c r="L100" s="83">
        <f t="shared" si="44"/>
        <v>1321508.3950000003</v>
      </c>
      <c r="M100" s="83">
        <f t="shared" si="44"/>
        <v>465538.565</v>
      </c>
      <c r="N100" s="83">
        <f t="shared" si="44"/>
        <v>0</v>
      </c>
      <c r="O100" s="83">
        <f t="shared" si="44"/>
        <v>0</v>
      </c>
      <c r="P100" s="83">
        <f t="shared" si="44"/>
        <v>0</v>
      </c>
      <c r="Q100" s="83">
        <f t="shared" si="44"/>
        <v>0</v>
      </c>
      <c r="R100" s="83">
        <f t="shared" si="44"/>
        <v>0</v>
      </c>
      <c r="S100" s="83">
        <f t="shared" si="44"/>
        <v>0</v>
      </c>
      <c r="T100" s="83">
        <f>T85</f>
        <v>5832917.3319999995</v>
      </c>
      <c r="V100" s="84" t="s">
        <v>109</v>
      </c>
      <c r="W100" s="86">
        <f>T101</f>
        <v>4340001.2220000001</v>
      </c>
    </row>
    <row r="101" spans="3:23" ht="18" customHeight="1">
      <c r="D101" s="84" t="s">
        <v>109</v>
      </c>
      <c r="E101" s="86">
        <f>E91</f>
        <v>13376078</v>
      </c>
      <c r="G101" s="14"/>
      <c r="H101" s="86">
        <f>H91</f>
        <v>0</v>
      </c>
      <c r="I101" s="86">
        <f t="shared" ref="I101:S101" si="45">I91</f>
        <v>881661.45699999994</v>
      </c>
      <c r="J101" s="86">
        <f t="shared" si="45"/>
        <v>702653.06499999994</v>
      </c>
      <c r="K101" s="86">
        <f t="shared" si="45"/>
        <v>542653.13199999998</v>
      </c>
      <c r="L101" s="86">
        <f t="shared" si="45"/>
        <v>1320466.4320000003</v>
      </c>
      <c r="M101" s="72">
        <f t="shared" si="45"/>
        <v>892567.13600000006</v>
      </c>
      <c r="N101" s="72">
        <f t="shared" si="45"/>
        <v>0</v>
      </c>
      <c r="O101" s="72">
        <f t="shared" si="45"/>
        <v>0</v>
      </c>
      <c r="P101" s="72">
        <f t="shared" si="45"/>
        <v>0</v>
      </c>
      <c r="Q101" s="72">
        <f t="shared" si="45"/>
        <v>0</v>
      </c>
      <c r="R101" s="72">
        <f t="shared" si="45"/>
        <v>0</v>
      </c>
      <c r="S101" s="72">
        <f t="shared" si="45"/>
        <v>0</v>
      </c>
      <c r="T101" s="86">
        <f>T91</f>
        <v>4340001.2220000001</v>
      </c>
      <c r="V101" s="93" t="s">
        <v>103</v>
      </c>
      <c r="W101" s="95">
        <f>T102</f>
        <v>2967516.9920000001</v>
      </c>
    </row>
    <row r="102" spans="3:23" ht="18" customHeight="1">
      <c r="D102" s="93" t="s">
        <v>103</v>
      </c>
      <c r="E102" s="95">
        <f>E92</f>
        <v>13875231</v>
      </c>
      <c r="G102" s="14"/>
      <c r="H102" s="95">
        <f>H92</f>
        <v>0</v>
      </c>
      <c r="I102" s="95">
        <f t="shared" ref="I102:S102" si="46">I92</f>
        <v>725227.07400000002</v>
      </c>
      <c r="J102" s="95">
        <f t="shared" si="46"/>
        <v>462981.01400000002</v>
      </c>
      <c r="K102" s="95">
        <f t="shared" si="46"/>
        <v>278281.08400000003</v>
      </c>
      <c r="L102" s="95">
        <f t="shared" si="46"/>
        <v>865210.87300000002</v>
      </c>
      <c r="M102" s="95">
        <f>M92</f>
        <v>635816.94700000004</v>
      </c>
      <c r="N102" s="95">
        <f t="shared" si="46"/>
        <v>0</v>
      </c>
      <c r="O102" s="95">
        <f t="shared" si="46"/>
        <v>0</v>
      </c>
      <c r="P102" s="95">
        <f t="shared" si="46"/>
        <v>0</v>
      </c>
      <c r="Q102" s="95">
        <f t="shared" si="46"/>
        <v>0</v>
      </c>
      <c r="R102" s="95">
        <f t="shared" si="46"/>
        <v>0</v>
      </c>
      <c r="S102" s="95">
        <f t="shared" si="46"/>
        <v>0</v>
      </c>
      <c r="T102" s="95">
        <f>T92</f>
        <v>2967516.9920000001</v>
      </c>
      <c r="V102" s="74" t="s">
        <v>110</v>
      </c>
      <c r="W102" s="56">
        <f>SUM(W98:W101)</f>
        <v>16478925.400999999</v>
      </c>
    </row>
    <row r="103" spans="3:23" ht="18" customHeight="1">
      <c r="D103" s="74" t="s">
        <v>110</v>
      </c>
      <c r="E103" s="56">
        <f>SUM(E99:E102)</f>
        <v>44169122</v>
      </c>
      <c r="G103" s="14"/>
      <c r="H103" s="56">
        <f>SUM(H99:H102)</f>
        <v>0</v>
      </c>
      <c r="I103" s="56">
        <f t="shared" ref="I103:S103" si="47">SUM(I99:I102)</f>
        <v>2916644.8159999996</v>
      </c>
      <c r="J103" s="56">
        <f t="shared" si="47"/>
        <v>3569580.9029999999</v>
      </c>
      <c r="K103" s="56">
        <f t="shared" si="47"/>
        <v>2698482.8020000001</v>
      </c>
      <c r="L103" s="56">
        <f t="shared" si="47"/>
        <v>4332956.2030000007</v>
      </c>
      <c r="M103" s="56">
        <f t="shared" si="47"/>
        <v>2961260.6770000001</v>
      </c>
      <c r="N103" s="56">
        <f t="shared" si="47"/>
        <v>0</v>
      </c>
      <c r="O103" s="56">
        <f t="shared" si="47"/>
        <v>0</v>
      </c>
      <c r="P103" s="56">
        <f t="shared" si="47"/>
        <v>0</v>
      </c>
      <c r="Q103" s="56">
        <f t="shared" si="47"/>
        <v>0</v>
      </c>
      <c r="R103" s="56">
        <f t="shared" si="47"/>
        <v>0</v>
      </c>
      <c r="S103" s="56">
        <f t="shared" si="47"/>
        <v>0</v>
      </c>
      <c r="T103" s="56">
        <f>SUM(T99:T102)</f>
        <v>16478925.400999999</v>
      </c>
    </row>
    <row r="104" spans="3:23" ht="18" customHeight="1">
      <c r="E104" s="4"/>
      <c r="F104" s="3"/>
      <c r="G104" s="3"/>
      <c r="H104" s="320" t="s">
        <v>105</v>
      </c>
      <c r="I104" s="320"/>
      <c r="J104" s="320"/>
      <c r="K104" s="320"/>
      <c r="L104" s="320"/>
      <c r="M104" s="320"/>
      <c r="N104" s="320"/>
      <c r="O104" s="320"/>
      <c r="P104" s="3"/>
      <c r="Q104" s="3"/>
      <c r="R104" s="3"/>
      <c r="S104" s="3"/>
      <c r="T104" s="3"/>
      <c r="U104" s="3"/>
    </row>
    <row r="105" spans="3:23" ht="18" customHeight="1">
      <c r="H105" s="87">
        <f>H103-H93</f>
        <v>0</v>
      </c>
      <c r="I105" s="87">
        <f>I103-I93</f>
        <v>0</v>
      </c>
      <c r="J105" s="87">
        <f t="shared" ref="J105:T105" si="48">J103-J93</f>
        <v>0</v>
      </c>
      <c r="K105" s="87">
        <f t="shared" si="48"/>
        <v>0</v>
      </c>
      <c r="L105" s="87">
        <f t="shared" si="48"/>
        <v>0</v>
      </c>
      <c r="M105" s="87">
        <f t="shared" si="48"/>
        <v>0</v>
      </c>
      <c r="N105" s="87">
        <f t="shared" si="48"/>
        <v>0</v>
      </c>
      <c r="O105" s="87">
        <f t="shared" si="48"/>
        <v>0</v>
      </c>
      <c r="P105" s="87">
        <f t="shared" si="48"/>
        <v>0</v>
      </c>
      <c r="Q105" s="87">
        <f t="shared" si="48"/>
        <v>0</v>
      </c>
      <c r="R105" s="87">
        <f t="shared" si="48"/>
        <v>0</v>
      </c>
      <c r="S105" s="87">
        <f t="shared" si="48"/>
        <v>0</v>
      </c>
      <c r="T105" s="87">
        <f t="shared" si="48"/>
        <v>0</v>
      </c>
      <c r="U105" s="87"/>
      <c r="V105" s="98"/>
    </row>
    <row r="106" spans="3:23">
      <c r="D106" s="57"/>
    </row>
    <row r="107" spans="3:23" ht="35.25" customHeight="1">
      <c r="C107" s="57"/>
      <c r="D107" s="69" t="s">
        <v>111</v>
      </c>
      <c r="E107" s="69" t="s">
        <v>112</v>
      </c>
    </row>
    <row r="108" spans="3:23" ht="16.5" customHeight="1">
      <c r="C108" s="100">
        <v>2012</v>
      </c>
      <c r="D108" s="10">
        <v>2012</v>
      </c>
      <c r="E108" s="13">
        <f>SUMIFS('2025 FNDR'!$P$4:$P$435,'2025 FNDR'!$I$4:$I$435,'2025 RESUMEN'!D108)</f>
        <v>1224.73</v>
      </c>
      <c r="F108" s="144">
        <f t="shared" ref="F108:F122" si="49">E108/$E$122</f>
        <v>7.4320986969555623E-5</v>
      </c>
    </row>
    <row r="109" spans="3:23" ht="16.5" customHeight="1">
      <c r="C109" s="100">
        <v>2013</v>
      </c>
      <c r="D109" s="10">
        <v>2013</v>
      </c>
      <c r="E109" s="13">
        <f>SUMIFS('2025 FNDR'!$P$4:$P$435,'2025 FNDR'!$I$4:$I$435,'2025 RESUMEN'!D109)</f>
        <v>0</v>
      </c>
      <c r="F109" s="144">
        <f t="shared" si="49"/>
        <v>0</v>
      </c>
    </row>
    <row r="110" spans="3:23" ht="16.5" customHeight="1">
      <c r="C110" s="100">
        <v>2014</v>
      </c>
      <c r="D110" s="10">
        <v>2014</v>
      </c>
      <c r="E110" s="13">
        <f>SUMIFS('2025 FNDR'!$P$4:$P$435,'2025 FNDR'!$I$4:$I$435,'2025 RESUMEN'!D110)</f>
        <v>0</v>
      </c>
      <c r="F110" s="144">
        <f t="shared" si="49"/>
        <v>0</v>
      </c>
    </row>
    <row r="111" spans="3:23" ht="16.5" customHeight="1">
      <c r="C111" s="100">
        <v>2015</v>
      </c>
      <c r="D111" s="10">
        <v>2015</v>
      </c>
      <c r="E111" s="13">
        <f>SUMIFS('2025 FNDR'!$P$4:$P$435,'2025 FNDR'!$I$4:$I$435,'2025 RESUMEN'!D111)</f>
        <v>0</v>
      </c>
      <c r="F111" s="144">
        <f t="shared" si="49"/>
        <v>0</v>
      </c>
    </row>
    <row r="112" spans="3:23" ht="16.5" customHeight="1">
      <c r="C112" s="100">
        <v>2016</v>
      </c>
      <c r="D112" s="10">
        <v>2016</v>
      </c>
      <c r="E112" s="13">
        <f>SUMIFS('2025 FNDR'!$P$4:$P$435,'2025 FNDR'!$I$4:$I$435,'2025 RESUMEN'!D112)</f>
        <v>0</v>
      </c>
      <c r="F112" s="144">
        <f t="shared" si="49"/>
        <v>0</v>
      </c>
    </row>
    <row r="113" spans="3:19" ht="16.5" customHeight="1">
      <c r="C113" s="100">
        <v>2017</v>
      </c>
      <c r="D113" s="10">
        <v>2017</v>
      </c>
      <c r="E113" s="13">
        <f>SUMIFS('2025 FNDR'!$P$4:$P$435,'2025 FNDR'!$I$4:$I$435,'2025 RESUMEN'!D113)</f>
        <v>0</v>
      </c>
      <c r="F113" s="144">
        <f t="shared" si="49"/>
        <v>0</v>
      </c>
    </row>
    <row r="114" spans="3:19" ht="16.5" customHeight="1">
      <c r="C114" s="100">
        <v>2018</v>
      </c>
      <c r="D114" s="10">
        <v>2018</v>
      </c>
      <c r="E114" s="13">
        <f>SUMIFS('2025 FNDR'!$P$4:$P$435,'2025 FNDR'!$I$4:$I$435,'2025 RESUMEN'!D114)</f>
        <v>2246286.1549999998</v>
      </c>
      <c r="F114" s="144">
        <f t="shared" si="49"/>
        <v>0.13631265997864686</v>
      </c>
      <c r="R114" s="28"/>
      <c r="S114" s="28"/>
    </row>
    <row r="115" spans="3:19" ht="16.5" customHeight="1">
      <c r="C115" s="100">
        <v>2019</v>
      </c>
      <c r="D115" s="10">
        <v>2019</v>
      </c>
      <c r="E115" s="13">
        <f>SUMIFS('2025 FNDR'!$P$4:$P$435,'2025 FNDR'!$I$4:$I$435,'2025 RESUMEN'!D115)</f>
        <v>1000581.3790000001</v>
      </c>
      <c r="F115" s="144">
        <f t="shared" si="49"/>
        <v>6.0718848750858555E-2</v>
      </c>
      <c r="R115" s="28"/>
      <c r="S115" s="28"/>
    </row>
    <row r="116" spans="3:19" ht="16.5" customHeight="1">
      <c r="C116" s="148" t="s">
        <v>113</v>
      </c>
      <c r="D116" s="10">
        <v>2020</v>
      </c>
      <c r="E116" s="13">
        <f>SUMIFS('2025 FNDR'!$P$4:$P$435,'2025 FNDR'!$I$4:$I$435,'2025 RESUMEN'!D116)</f>
        <v>528081.59299999999</v>
      </c>
      <c r="F116" s="144">
        <f t="shared" si="49"/>
        <v>3.2045875574383882E-2</v>
      </c>
      <c r="R116" s="28"/>
      <c r="S116" s="28"/>
    </row>
    <row r="117" spans="3:19" ht="16.5" customHeight="1">
      <c r="C117" s="148" t="s">
        <v>114</v>
      </c>
      <c r="D117" s="10">
        <v>2021</v>
      </c>
      <c r="E117" s="13">
        <f>SUMIFS('2025 FNDR'!$P$4:$P$435,'2025 FNDR'!$I$4:$I$435,'2025 RESUMEN'!D117)</f>
        <v>2939507.2380000004</v>
      </c>
      <c r="F117" s="144">
        <f t="shared" si="49"/>
        <v>0.17837978912275559</v>
      </c>
      <c r="R117" s="28"/>
      <c r="S117" s="28"/>
    </row>
    <row r="118" spans="3:19" ht="16.5" customHeight="1">
      <c r="C118" s="148" t="s">
        <v>115</v>
      </c>
      <c r="D118" s="10">
        <v>2022</v>
      </c>
      <c r="E118" s="13">
        <f>SUMIFS('2025 FNDR'!$P$4:$P$435,'2025 FNDR'!$I$4:$I$435,'2025 RESUMEN'!D118)</f>
        <v>775771.1</v>
      </c>
      <c r="F118" s="144">
        <f t="shared" si="49"/>
        <v>4.7076558763529779E-2</v>
      </c>
    </row>
    <row r="119" spans="3:19" ht="16.5" customHeight="1">
      <c r="C119" s="100">
        <v>2023</v>
      </c>
      <c r="D119" s="10">
        <v>2023</v>
      </c>
      <c r="E119" s="13">
        <f>SUMIFS('2025 FNDR'!$P$4:$P$435,'2025 FNDR'!$I$4:$I$435,'2025 RESUMEN'!D119)</f>
        <v>5883151.1719999993</v>
      </c>
      <c r="F119" s="144">
        <f t="shared" si="49"/>
        <v>0.35701060772099796</v>
      </c>
    </row>
    <row r="120" spans="3:19" ht="16.5" customHeight="1">
      <c r="C120" s="100">
        <v>2024</v>
      </c>
      <c r="D120" s="10">
        <v>2024</v>
      </c>
      <c r="E120" s="13">
        <f>SUMIFS('2025 FNDR'!$P$4:$P$435,'2025 FNDR'!$I$4:$I$435,'2025 RESUMEN'!D120)</f>
        <v>3104322.0339999995</v>
      </c>
      <c r="F120" s="144">
        <f t="shared" si="49"/>
        <v>0.18838133910185784</v>
      </c>
    </row>
    <row r="121" spans="3:19" ht="16.5" customHeight="1">
      <c r="C121" s="100">
        <v>2025</v>
      </c>
      <c r="D121" s="10">
        <v>2025</v>
      </c>
      <c r="E121" s="13">
        <f>SUMIFS('2025 FNDR'!$P$4:$P$435,'2025 FNDR'!$I$4:$I$435,'2025 RESUMEN'!D121)</f>
        <v>0</v>
      </c>
      <c r="F121" s="144">
        <f t="shared" si="49"/>
        <v>0</v>
      </c>
    </row>
    <row r="122" spans="3:19" ht="16.5" customHeight="1">
      <c r="C122" s="49"/>
      <c r="D122" s="10" t="s">
        <v>110</v>
      </c>
      <c r="E122" s="232">
        <f>SUM(E108:E120)</f>
        <v>16478925.400999999</v>
      </c>
      <c r="F122" s="144">
        <f t="shared" si="49"/>
        <v>1</v>
      </c>
    </row>
    <row r="123" spans="3:19" ht="16.5" customHeight="1"/>
    <row r="124" spans="3:19" ht="16.5" customHeight="1"/>
    <row r="125" spans="3:19" ht="16.5" customHeight="1"/>
    <row r="126" spans="3:19" ht="16.5" customHeight="1"/>
    <row r="127" spans="3:19">
      <c r="F127"/>
    </row>
    <row r="128" spans="3:19" ht="12.75" customHeight="1">
      <c r="D128" s="47"/>
      <c r="H128" s="47"/>
    </row>
    <row r="129" spans="4:8" ht="12.75">
      <c r="D129" s="47"/>
      <c r="H129" s="47"/>
    </row>
    <row r="130" spans="4:8" ht="12.75">
      <c r="D130" s="47"/>
      <c r="E130" s="47"/>
      <c r="F130" s="47"/>
      <c r="G130" s="47"/>
      <c r="H130" s="47"/>
    </row>
    <row r="131" spans="4:8" ht="12.75">
      <c r="D131" s="47"/>
      <c r="E131" s="47"/>
      <c r="F131" s="47"/>
      <c r="G131" s="47"/>
      <c r="H131" s="47"/>
    </row>
    <row r="132" spans="4:8" ht="12.75">
      <c r="D132" s="47"/>
      <c r="E132" s="47"/>
      <c r="F132" s="47"/>
      <c r="G132" s="47"/>
      <c r="H132" s="47"/>
    </row>
    <row r="133" spans="4:8" ht="12.75">
      <c r="D133" s="47"/>
      <c r="E133" s="47"/>
      <c r="F133" s="47"/>
      <c r="G133" s="47"/>
      <c r="H133" s="47"/>
    </row>
    <row r="134" spans="4:8" ht="12.75">
      <c r="D134" s="47"/>
      <c r="E134" s="47"/>
      <c r="F134" s="47"/>
      <c r="G134" s="47"/>
      <c r="H134" s="47"/>
    </row>
    <row r="135" spans="4:8" ht="12.75">
      <c r="D135" s="47"/>
      <c r="E135" s="47"/>
      <c r="F135" s="47"/>
      <c r="G135" s="47"/>
      <c r="H135" s="47"/>
    </row>
    <row r="136" spans="4:8" ht="12.75">
      <c r="D136" s="47"/>
      <c r="E136" s="47"/>
      <c r="F136" s="47"/>
      <c r="G136" s="47"/>
      <c r="H136" s="47"/>
    </row>
    <row r="137" spans="4:8" ht="12.75">
      <c r="D137" s="47"/>
      <c r="E137" s="47"/>
      <c r="F137" s="47"/>
      <c r="G137" s="47"/>
      <c r="H137" s="47"/>
    </row>
    <row r="138" spans="4:8" ht="12.75">
      <c r="D138" s="47"/>
      <c r="E138" s="47"/>
      <c r="F138" s="47"/>
      <c r="G138" s="47"/>
      <c r="H138" s="47"/>
    </row>
    <row r="139" spans="4:8" ht="12.75">
      <c r="D139" s="47"/>
      <c r="E139" s="47"/>
      <c r="F139" s="47"/>
      <c r="G139" s="47"/>
      <c r="H139" s="47"/>
    </row>
    <row r="140" spans="4:8" ht="12.75">
      <c r="D140" s="47"/>
      <c r="E140" s="47"/>
      <c r="F140" s="47"/>
      <c r="G140" s="47"/>
      <c r="H140" s="47"/>
    </row>
    <row r="141" spans="4:8" ht="12.75">
      <c r="D141" s="47"/>
      <c r="E141" s="47"/>
      <c r="F141" s="47"/>
      <c r="G141" s="47"/>
      <c r="H141" s="47"/>
    </row>
    <row r="142" spans="4:8" ht="12.75">
      <c r="D142" s="47"/>
      <c r="E142" s="47"/>
      <c r="F142" s="47"/>
      <c r="G142" s="47"/>
      <c r="H142" s="47"/>
    </row>
    <row r="143" spans="4:8" ht="12.75">
      <c r="D143" s="47"/>
      <c r="E143" s="47"/>
      <c r="F143" s="47"/>
      <c r="G143" s="47"/>
      <c r="H143" s="47"/>
    </row>
    <row r="144" spans="4:8">
      <c r="F144"/>
    </row>
    <row r="145" spans="6:6">
      <c r="F145"/>
    </row>
    <row r="146" spans="6:6">
      <c r="F146"/>
    </row>
    <row r="147" spans="6:6">
      <c r="F147"/>
    </row>
    <row r="148" spans="6:6">
      <c r="F148"/>
    </row>
    <row r="149" spans="6:6">
      <c r="F149"/>
    </row>
    <row r="150" spans="6:6">
      <c r="F150"/>
    </row>
    <row r="151" spans="6:6">
      <c r="F151"/>
    </row>
    <row r="152" spans="6:6">
      <c r="F152"/>
    </row>
    <row r="153" spans="6:6">
      <c r="F153"/>
    </row>
    <row r="154" spans="6:6">
      <c r="F154"/>
    </row>
    <row r="155" spans="6:6">
      <c r="F155"/>
    </row>
    <row r="156" spans="6:6">
      <c r="F156"/>
    </row>
    <row r="157" spans="6:6">
      <c r="F157"/>
    </row>
    <row r="158" spans="6:6">
      <c r="F158"/>
    </row>
    <row r="159" spans="6:6">
      <c r="F159"/>
    </row>
    <row r="160" spans="6:6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</sheetData>
  <sheetProtection algorithmName="SHA-512" hashValue="1gLOsB9EYaRHDEDcHCxYnJsqWXZU87ouFAdolfyQz1RVaossdYi0Uf124JOeft9FVH8Bn8Irx196LQtFmy9SIw==" saltValue="zZB2qBGvrq+uddeqYbs5Ow==" spinCount="100000" sheet="1" objects="1" scenarios="1"/>
  <mergeCells count="7">
    <mergeCell ref="B3:F3"/>
    <mergeCell ref="F64:G64"/>
    <mergeCell ref="G66:L66"/>
    <mergeCell ref="H104:O104"/>
    <mergeCell ref="F61:G61"/>
    <mergeCell ref="H94:Q94"/>
    <mergeCell ref="D42:G42"/>
  </mergeCells>
  <conditionalFormatting sqref="H95:T95 H105:T105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25" right="0.25" top="0.75" bottom="0.75" header="0.3" footer="0.3"/>
  <pageSetup scale="25" fitToWidth="0" orientation="landscape" r:id="rId1"/>
  <ignoredErrors>
    <ignoredError sqref="C116:C11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255"/>
  <sheetViews>
    <sheetView zoomScale="90" zoomScaleNormal="90" zoomScaleSheetLayoutView="90" workbookViewId="0">
      <pane ySplit="4" topLeftCell="A73" activePane="bottomLeft" state="frozen"/>
      <selection pane="bottomLeft" activeCell="L77" sqref="L77"/>
    </sheetView>
  </sheetViews>
  <sheetFormatPr baseColWidth="10" defaultColWidth="11.42578125" defaultRowHeight="12"/>
  <cols>
    <col min="1" max="1" width="10.5703125" style="1" customWidth="1"/>
    <col min="2" max="2" width="5.28515625" style="6" customWidth="1"/>
    <col min="3" max="3" width="5.5703125" style="209" customWidth="1"/>
    <col min="4" max="4" width="5.28515625" style="209" hidden="1" customWidth="1"/>
    <col min="5" max="5" width="15" style="6" customWidth="1"/>
    <col min="6" max="6" width="40.7109375" style="2" customWidth="1"/>
    <col min="7" max="7" width="14.28515625" style="6" customWidth="1"/>
    <col min="8" max="8" width="18.140625" style="6" customWidth="1"/>
    <col min="9" max="10" width="10" style="6" customWidth="1"/>
    <col min="11" max="11" width="12.5703125" style="140" customWidth="1"/>
    <col min="12" max="12" width="20" style="6" customWidth="1"/>
    <col min="13" max="13" width="19" style="6" customWidth="1"/>
    <col min="14" max="14" width="16.42578125" style="2" customWidth="1"/>
    <col min="15" max="15" width="16.140625" style="124" customWidth="1"/>
    <col min="16" max="16" width="17.42578125" style="2" customWidth="1"/>
    <col min="17" max="17" width="13.85546875" style="2" hidden="1" customWidth="1"/>
    <col min="18" max="18" width="13.5703125" style="2" hidden="1" customWidth="1"/>
    <col min="19" max="19" width="15.7109375" style="2" hidden="1" customWidth="1"/>
    <col min="20" max="20" width="14.140625" style="150" hidden="1" customWidth="1"/>
    <col min="21" max="21" width="15.5703125" style="2" hidden="1" customWidth="1"/>
    <col min="22" max="22" width="14.7109375" style="2" customWidth="1"/>
    <col min="23" max="23" width="18.140625" style="2" customWidth="1"/>
    <col min="24" max="24" width="14.5703125" style="2" customWidth="1"/>
    <col min="25" max="25" width="13.85546875" style="2" customWidth="1"/>
    <col min="26" max="26" width="15.140625" style="154" customWidth="1"/>
    <col min="27" max="27" width="13.7109375" style="2" customWidth="1"/>
    <col min="28" max="28" width="15.85546875" style="276" customWidth="1"/>
    <col min="29" max="35" width="11.42578125" style="2" bestFit="1" customWidth="1"/>
    <col min="36" max="16384" width="11.42578125" style="2"/>
  </cols>
  <sheetData>
    <row r="1" spans="1:28">
      <c r="A1" s="274" t="s">
        <v>116</v>
      </c>
      <c r="B1" s="159"/>
      <c r="C1" s="221"/>
      <c r="D1" s="220"/>
      <c r="E1" s="256"/>
      <c r="F1" s="221"/>
      <c r="G1" s="1"/>
      <c r="H1" s="1"/>
      <c r="K1" s="6"/>
      <c r="M1" s="1"/>
      <c r="N1" s="1"/>
      <c r="O1" s="257"/>
      <c r="P1" s="1"/>
      <c r="Q1" s="6"/>
      <c r="R1" s="1"/>
      <c r="S1" s="6"/>
      <c r="T1" s="261"/>
      <c r="U1" s="1"/>
      <c r="V1" s="1"/>
      <c r="W1" s="6"/>
    </row>
    <row r="2" spans="1:28" ht="51">
      <c r="A2" s="275" t="s">
        <v>117</v>
      </c>
      <c r="B2" s="221"/>
      <c r="C2" s="221"/>
      <c r="D2" s="220"/>
      <c r="E2" s="256"/>
      <c r="F2" s="221"/>
      <c r="G2" s="256"/>
      <c r="K2" s="6"/>
      <c r="N2" s="138" t="s">
        <v>118</v>
      </c>
      <c r="O2" s="139" t="str">
        <f>O4</f>
        <v>ASIGNADO M$ 2025</v>
      </c>
      <c r="P2" s="139" t="s">
        <v>119</v>
      </c>
      <c r="Q2" s="114" t="s">
        <v>3</v>
      </c>
      <c r="R2" s="106" t="s">
        <v>3</v>
      </c>
      <c r="S2" s="106" t="s">
        <v>3</v>
      </c>
      <c r="T2" s="149" t="s">
        <v>3</v>
      </c>
      <c r="U2" s="106" t="s">
        <v>3</v>
      </c>
      <c r="V2" s="106" t="s">
        <v>3</v>
      </c>
      <c r="W2" s="106" t="s">
        <v>3</v>
      </c>
      <c r="X2" s="106" t="s">
        <v>3</v>
      </c>
      <c r="Y2" s="106" t="s">
        <v>3</v>
      </c>
      <c r="Z2" s="153" t="s">
        <v>3</v>
      </c>
      <c r="AA2" s="106" t="s">
        <v>3</v>
      </c>
      <c r="AB2" s="153" t="s">
        <v>3</v>
      </c>
    </row>
    <row r="3" spans="1:28" ht="15">
      <c r="F3" s="2" t="s">
        <v>120</v>
      </c>
      <c r="K3" s="6"/>
      <c r="N3" s="262">
        <f>SUBTOTAL(9,N5:N463)</f>
        <v>98218095</v>
      </c>
      <c r="O3" s="262">
        <f>SUBTOTAL(9,O5:O463)</f>
        <v>71443652.004999995</v>
      </c>
      <c r="P3" s="262">
        <f>SUBTOTAL(9,P5:P463)</f>
        <v>19261814.903999999</v>
      </c>
      <c r="Q3" s="263">
        <f t="shared" ref="Q3:AB3" si="0">SUBTOTAL(9,Q5:Q466)</f>
        <v>2782889.503</v>
      </c>
      <c r="R3" s="263">
        <f t="shared" si="0"/>
        <v>2916644.8160000001</v>
      </c>
      <c r="S3" s="263">
        <f t="shared" si="0"/>
        <v>3569580.9029999999</v>
      </c>
      <c r="T3" s="263">
        <f t="shared" si="0"/>
        <v>2698482.8020000006</v>
      </c>
      <c r="U3" s="263">
        <f t="shared" si="0"/>
        <v>4332956.2030000007</v>
      </c>
      <c r="V3" s="263">
        <f t="shared" si="0"/>
        <v>2961260.6770000001</v>
      </c>
      <c r="W3" s="263">
        <f t="shared" si="0"/>
        <v>0</v>
      </c>
      <c r="X3" s="263">
        <f t="shared" si="0"/>
        <v>0</v>
      </c>
      <c r="Y3" s="263">
        <f t="shared" si="0"/>
        <v>0</v>
      </c>
      <c r="Z3" s="263">
        <f t="shared" si="0"/>
        <v>0</v>
      </c>
      <c r="AA3" s="263">
        <f t="shared" si="0"/>
        <v>0</v>
      </c>
      <c r="AB3" s="263">
        <f t="shared" si="0"/>
        <v>0</v>
      </c>
    </row>
    <row r="4" spans="1:28" ht="51">
      <c r="A4" s="105" t="s">
        <v>121</v>
      </c>
      <c r="B4" s="105" t="s">
        <v>122</v>
      </c>
      <c r="C4" s="105" t="s">
        <v>5</v>
      </c>
      <c r="D4" s="105" t="s">
        <v>123</v>
      </c>
      <c r="E4" s="105" t="s">
        <v>124</v>
      </c>
      <c r="F4" s="105" t="s">
        <v>125</v>
      </c>
      <c r="G4" s="105" t="s">
        <v>79</v>
      </c>
      <c r="H4" s="105" t="s">
        <v>126</v>
      </c>
      <c r="I4" s="105" t="s">
        <v>111</v>
      </c>
      <c r="J4" s="105" t="s">
        <v>127</v>
      </c>
      <c r="K4" s="240" t="s">
        <v>128</v>
      </c>
      <c r="L4" s="105" t="s">
        <v>129</v>
      </c>
      <c r="M4" s="105" t="s">
        <v>130</v>
      </c>
      <c r="N4" s="241" t="s">
        <v>118</v>
      </c>
      <c r="O4" s="139" t="s">
        <v>131</v>
      </c>
      <c r="P4" s="286" t="s">
        <v>119</v>
      </c>
      <c r="Q4" s="245">
        <v>45658</v>
      </c>
      <c r="R4" s="245">
        <v>45689</v>
      </c>
      <c r="S4" s="245">
        <v>45717</v>
      </c>
      <c r="T4" s="245">
        <v>45748</v>
      </c>
      <c r="U4" s="245">
        <v>45778</v>
      </c>
      <c r="V4" s="245">
        <v>45809</v>
      </c>
      <c r="W4" s="245">
        <v>45839</v>
      </c>
      <c r="X4" s="245">
        <v>45870</v>
      </c>
      <c r="Y4" s="245">
        <v>45901</v>
      </c>
      <c r="Z4" s="245">
        <v>45931</v>
      </c>
      <c r="AA4" s="245">
        <v>45962</v>
      </c>
      <c r="AB4" s="245">
        <v>45992</v>
      </c>
    </row>
    <row r="5" spans="1:28" ht="37.5" customHeight="1">
      <c r="A5" s="107">
        <v>30124513</v>
      </c>
      <c r="B5" s="107">
        <v>31</v>
      </c>
      <c r="C5" s="103" t="s">
        <v>30</v>
      </c>
      <c r="D5" s="313">
        <v>0</v>
      </c>
      <c r="E5" s="101" t="s">
        <v>132</v>
      </c>
      <c r="F5" s="108" t="s">
        <v>133</v>
      </c>
      <c r="G5" s="101" t="s">
        <v>82</v>
      </c>
      <c r="H5" s="101" t="s">
        <v>134</v>
      </c>
      <c r="I5" s="101">
        <v>2018</v>
      </c>
      <c r="J5" s="101">
        <v>9061</v>
      </c>
      <c r="K5" s="142">
        <v>7261929</v>
      </c>
      <c r="L5" s="101" t="s">
        <v>135</v>
      </c>
      <c r="M5" s="105" t="s">
        <v>136</v>
      </c>
      <c r="N5" s="115">
        <v>254000</v>
      </c>
      <c r="O5" s="115">
        <v>259531</v>
      </c>
      <c r="P5" s="115">
        <f t="shared" ref="P5:P56" si="1">SUM(Q5:AB5)</f>
        <v>0</v>
      </c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</row>
    <row r="6" spans="1:28" ht="24">
      <c r="A6" s="226">
        <v>30064663</v>
      </c>
      <c r="B6" s="107">
        <v>31</v>
      </c>
      <c r="C6" s="103" t="s">
        <v>30</v>
      </c>
      <c r="D6" s="101">
        <v>0</v>
      </c>
      <c r="E6" s="101" t="s">
        <v>132</v>
      </c>
      <c r="F6" s="108" t="s">
        <v>137</v>
      </c>
      <c r="G6" s="101" t="s">
        <v>91</v>
      </c>
      <c r="H6" s="101" t="s">
        <v>134</v>
      </c>
      <c r="I6" s="101">
        <v>2021</v>
      </c>
      <c r="J6" s="101">
        <v>11216</v>
      </c>
      <c r="K6" s="142">
        <v>9131052</v>
      </c>
      <c r="L6" s="101" t="s">
        <v>138</v>
      </c>
      <c r="M6" s="105" t="s">
        <v>132</v>
      </c>
      <c r="N6" s="115">
        <v>1487868.2229999998</v>
      </c>
      <c r="O6" s="115">
        <v>655003</v>
      </c>
      <c r="P6" s="115">
        <f t="shared" si="1"/>
        <v>533845.36499999999</v>
      </c>
      <c r="Q6" s="115"/>
      <c r="R6" s="115"/>
      <c r="S6" s="115">
        <v>370284.55200000003</v>
      </c>
      <c r="T6" s="115">
        <v>21011.883999999998</v>
      </c>
      <c r="U6" s="115">
        <v>12116.782999999999</v>
      </c>
      <c r="V6" s="115">
        <v>130432.14599999999</v>
      </c>
      <c r="W6" s="115"/>
      <c r="X6" s="115"/>
      <c r="Y6" s="115"/>
      <c r="Z6" s="115"/>
      <c r="AA6" s="115"/>
      <c r="AB6" s="115"/>
    </row>
    <row r="7" spans="1:28" ht="36">
      <c r="A7" s="226">
        <v>30124440</v>
      </c>
      <c r="B7" s="107">
        <v>31</v>
      </c>
      <c r="C7" s="103" t="s">
        <v>30</v>
      </c>
      <c r="D7" s="101">
        <v>0</v>
      </c>
      <c r="E7" s="101" t="s">
        <v>139</v>
      </c>
      <c r="F7" s="108" t="s">
        <v>140</v>
      </c>
      <c r="G7" s="101" t="s">
        <v>82</v>
      </c>
      <c r="H7" s="101" t="s">
        <v>141</v>
      </c>
      <c r="I7" s="101">
        <v>2018</v>
      </c>
      <c r="J7" s="101">
        <v>9636</v>
      </c>
      <c r="K7" s="142">
        <v>82682</v>
      </c>
      <c r="L7" s="101" t="s">
        <v>142</v>
      </c>
      <c r="M7" s="105" t="s">
        <v>132</v>
      </c>
      <c r="N7" s="115">
        <v>7700</v>
      </c>
      <c r="O7" s="115">
        <v>7640</v>
      </c>
      <c r="P7" s="115">
        <f t="shared" si="1"/>
        <v>0</v>
      </c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</row>
    <row r="8" spans="1:28" ht="24">
      <c r="A8" s="226">
        <v>30109140</v>
      </c>
      <c r="B8" s="107">
        <v>31</v>
      </c>
      <c r="C8" s="103" t="s">
        <v>30</v>
      </c>
      <c r="D8" s="101">
        <v>0</v>
      </c>
      <c r="E8" s="101" t="s">
        <v>132</v>
      </c>
      <c r="F8" s="108" t="s">
        <v>143</v>
      </c>
      <c r="G8" s="101" t="s">
        <v>83</v>
      </c>
      <c r="H8" s="101" t="s">
        <v>144</v>
      </c>
      <c r="I8" s="101">
        <v>2016</v>
      </c>
      <c r="J8" s="101">
        <v>8156</v>
      </c>
      <c r="K8" s="142">
        <v>5348180</v>
      </c>
      <c r="L8" s="101" t="s">
        <v>135</v>
      </c>
      <c r="M8" s="105" t="s">
        <v>145</v>
      </c>
      <c r="N8" s="115">
        <v>127000</v>
      </c>
      <c r="O8" s="115"/>
      <c r="P8" s="115">
        <f t="shared" si="1"/>
        <v>0</v>
      </c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</row>
    <row r="9" spans="1:28" ht="24">
      <c r="A9" s="226">
        <v>40006784</v>
      </c>
      <c r="B9" s="107">
        <v>31</v>
      </c>
      <c r="C9" s="103" t="s">
        <v>30</v>
      </c>
      <c r="D9" s="101">
        <v>0</v>
      </c>
      <c r="E9" s="101" t="s">
        <v>132</v>
      </c>
      <c r="F9" s="108" t="s">
        <v>146</v>
      </c>
      <c r="G9" s="101" t="s">
        <v>83</v>
      </c>
      <c r="H9" s="101" t="s">
        <v>147</v>
      </c>
      <c r="I9" s="101">
        <v>2019</v>
      </c>
      <c r="J9" s="101">
        <v>10023</v>
      </c>
      <c r="K9" s="142">
        <v>101933</v>
      </c>
      <c r="L9" s="101" t="s">
        <v>148</v>
      </c>
      <c r="M9" s="105" t="s">
        <v>132</v>
      </c>
      <c r="N9" s="115">
        <v>33552.89</v>
      </c>
      <c r="O9" s="115">
        <v>34000</v>
      </c>
      <c r="P9" s="115">
        <f t="shared" si="1"/>
        <v>33552.89</v>
      </c>
      <c r="Q9" s="115"/>
      <c r="R9" s="115"/>
      <c r="S9" s="115"/>
      <c r="T9" s="115"/>
      <c r="U9" s="115">
        <v>33552.89</v>
      </c>
      <c r="V9" s="115"/>
      <c r="W9" s="115"/>
      <c r="X9" s="115"/>
      <c r="Y9" s="115"/>
      <c r="Z9" s="115"/>
      <c r="AA9" s="115"/>
      <c r="AB9" s="115"/>
    </row>
    <row r="10" spans="1:28" ht="24">
      <c r="A10" s="226">
        <v>40006217</v>
      </c>
      <c r="B10" s="107">
        <v>31</v>
      </c>
      <c r="C10" s="103" t="s">
        <v>30</v>
      </c>
      <c r="D10" s="101">
        <v>0</v>
      </c>
      <c r="E10" s="101" t="s">
        <v>132</v>
      </c>
      <c r="F10" s="108" t="s">
        <v>149</v>
      </c>
      <c r="G10" s="101" t="s">
        <v>98</v>
      </c>
      <c r="H10" s="101" t="s">
        <v>150</v>
      </c>
      <c r="I10" s="101">
        <v>2019</v>
      </c>
      <c r="J10" s="101">
        <v>10023</v>
      </c>
      <c r="K10" s="142">
        <v>477747</v>
      </c>
      <c r="L10" s="101" t="s">
        <v>151</v>
      </c>
      <c r="M10" s="105" t="s">
        <v>152</v>
      </c>
      <c r="N10" s="115">
        <v>475695</v>
      </c>
      <c r="O10" s="115">
        <v>94119</v>
      </c>
      <c r="P10" s="115">
        <f t="shared" si="1"/>
        <v>0</v>
      </c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</row>
    <row r="11" spans="1:28" ht="24">
      <c r="A11" s="226">
        <v>30477535</v>
      </c>
      <c r="B11" s="107">
        <v>31</v>
      </c>
      <c r="C11" s="103" t="s">
        <v>30</v>
      </c>
      <c r="D11" s="101">
        <v>0</v>
      </c>
      <c r="E11" s="101" t="s">
        <v>132</v>
      </c>
      <c r="F11" s="108" t="s">
        <v>153</v>
      </c>
      <c r="G11" s="101" t="s">
        <v>84</v>
      </c>
      <c r="H11" s="101" t="s">
        <v>154</v>
      </c>
      <c r="I11" s="101">
        <v>2018</v>
      </c>
      <c r="J11" s="101">
        <v>9193</v>
      </c>
      <c r="K11" s="142">
        <v>969565</v>
      </c>
      <c r="L11" s="101" t="s">
        <v>135</v>
      </c>
      <c r="M11" s="105" t="s">
        <v>136</v>
      </c>
      <c r="N11" s="115">
        <v>1500</v>
      </c>
      <c r="O11" s="115">
        <v>58630</v>
      </c>
      <c r="P11" s="115">
        <f t="shared" si="1"/>
        <v>0</v>
      </c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</row>
    <row r="12" spans="1:28" ht="24">
      <c r="A12" s="226">
        <v>30484182</v>
      </c>
      <c r="B12" s="107">
        <v>31</v>
      </c>
      <c r="C12" s="103" t="s">
        <v>30</v>
      </c>
      <c r="D12" s="101">
        <v>0</v>
      </c>
      <c r="E12" s="101" t="s">
        <v>132</v>
      </c>
      <c r="F12" s="108" t="s">
        <v>155</v>
      </c>
      <c r="G12" s="101" t="s">
        <v>91</v>
      </c>
      <c r="H12" s="101" t="s">
        <v>150</v>
      </c>
      <c r="I12" s="101">
        <v>2017</v>
      </c>
      <c r="J12" s="101" t="s">
        <v>156</v>
      </c>
      <c r="K12" s="142">
        <v>547553</v>
      </c>
      <c r="L12" s="101" t="s">
        <v>157</v>
      </c>
      <c r="M12" s="105" t="s">
        <v>132</v>
      </c>
      <c r="N12" s="115">
        <v>16000</v>
      </c>
      <c r="O12" s="115"/>
      <c r="P12" s="115">
        <f t="shared" si="1"/>
        <v>0</v>
      </c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</row>
    <row r="13" spans="1:28" ht="36">
      <c r="A13" s="226">
        <v>30447522</v>
      </c>
      <c r="B13" s="101">
        <v>31</v>
      </c>
      <c r="C13" s="103" t="s">
        <v>30</v>
      </c>
      <c r="D13" s="101">
        <v>0</v>
      </c>
      <c r="E13" s="101" t="s">
        <v>132</v>
      </c>
      <c r="F13" s="108" t="s">
        <v>158</v>
      </c>
      <c r="G13" s="101" t="s">
        <v>92</v>
      </c>
      <c r="H13" s="101" t="s">
        <v>141</v>
      </c>
      <c r="I13" s="101">
        <v>2017</v>
      </c>
      <c r="J13" s="101">
        <v>8952</v>
      </c>
      <c r="K13" s="146">
        <v>3204698</v>
      </c>
      <c r="L13" s="101" t="s">
        <v>159</v>
      </c>
      <c r="M13" s="105" t="s">
        <v>132</v>
      </c>
      <c r="N13" s="115"/>
      <c r="O13" s="115"/>
      <c r="P13" s="115">
        <f t="shared" si="1"/>
        <v>0</v>
      </c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</row>
    <row r="14" spans="1:28" ht="36">
      <c r="A14" s="226">
        <v>40012802</v>
      </c>
      <c r="B14" s="107">
        <v>31</v>
      </c>
      <c r="C14" s="103" t="s">
        <v>30</v>
      </c>
      <c r="D14" s="101">
        <v>0</v>
      </c>
      <c r="E14" s="101" t="s">
        <v>132</v>
      </c>
      <c r="F14" s="108" t="s">
        <v>160</v>
      </c>
      <c r="G14" s="101" t="s">
        <v>93</v>
      </c>
      <c r="H14" s="101" t="s">
        <v>161</v>
      </c>
      <c r="I14" s="101">
        <v>2019</v>
      </c>
      <c r="J14" s="101">
        <v>10023</v>
      </c>
      <c r="K14" s="142">
        <v>1795456</v>
      </c>
      <c r="L14" s="101" t="s">
        <v>162</v>
      </c>
      <c r="M14" s="105" t="s">
        <v>132</v>
      </c>
      <c r="N14" s="115">
        <v>42000</v>
      </c>
      <c r="O14" s="115">
        <v>43852</v>
      </c>
      <c r="P14" s="115">
        <f t="shared" si="1"/>
        <v>9124.0040000000008</v>
      </c>
      <c r="Q14" s="115"/>
      <c r="R14" s="115"/>
      <c r="S14" s="115"/>
      <c r="T14" s="115"/>
      <c r="U14" s="115">
        <v>9124.0040000000008</v>
      </c>
      <c r="V14" s="115"/>
      <c r="W14" s="115"/>
      <c r="X14" s="115"/>
      <c r="Y14" s="115"/>
      <c r="Z14" s="115"/>
      <c r="AA14" s="115"/>
      <c r="AB14" s="115"/>
    </row>
    <row r="15" spans="1:28" ht="24">
      <c r="A15" s="226">
        <v>30077750</v>
      </c>
      <c r="B15" s="107">
        <v>31</v>
      </c>
      <c r="C15" s="103" t="s">
        <v>30</v>
      </c>
      <c r="D15" s="101">
        <v>0</v>
      </c>
      <c r="E15" s="101" t="s">
        <v>132</v>
      </c>
      <c r="F15" s="108" t="s">
        <v>163</v>
      </c>
      <c r="G15" s="101" t="s">
        <v>90</v>
      </c>
      <c r="H15" s="101" t="s">
        <v>134</v>
      </c>
      <c r="I15" s="101">
        <v>2014</v>
      </c>
      <c r="J15" s="101">
        <v>6456</v>
      </c>
      <c r="K15" s="142">
        <v>821595</v>
      </c>
      <c r="L15" s="101" t="s">
        <v>135</v>
      </c>
      <c r="M15" s="105" t="s">
        <v>164</v>
      </c>
      <c r="N15" s="115">
        <v>28000</v>
      </c>
      <c r="O15" s="115"/>
      <c r="P15" s="115">
        <f t="shared" si="1"/>
        <v>0</v>
      </c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</row>
    <row r="16" spans="1:28" ht="36">
      <c r="A16" s="226">
        <v>30078529</v>
      </c>
      <c r="B16" s="107">
        <v>31</v>
      </c>
      <c r="C16" s="103" t="s">
        <v>30</v>
      </c>
      <c r="D16" s="101">
        <v>0</v>
      </c>
      <c r="E16" s="101" t="s">
        <v>132</v>
      </c>
      <c r="F16" s="108" t="s">
        <v>165</v>
      </c>
      <c r="G16" s="101" t="s">
        <v>98</v>
      </c>
      <c r="H16" s="101" t="s">
        <v>161</v>
      </c>
      <c r="I16" s="101">
        <v>2012</v>
      </c>
      <c r="J16" s="101">
        <v>5393</v>
      </c>
      <c r="K16" s="142">
        <v>2550802</v>
      </c>
      <c r="L16" s="101" t="s">
        <v>151</v>
      </c>
      <c r="M16" s="105" t="s">
        <v>166</v>
      </c>
      <c r="N16" s="115"/>
      <c r="O16" s="115"/>
      <c r="P16" s="115">
        <f t="shared" si="1"/>
        <v>0</v>
      </c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</row>
    <row r="17" spans="1:28" ht="36">
      <c r="A17" s="226">
        <v>30484225</v>
      </c>
      <c r="B17" s="107">
        <v>31</v>
      </c>
      <c r="C17" s="103" t="s">
        <v>30</v>
      </c>
      <c r="D17" s="101">
        <v>0</v>
      </c>
      <c r="E17" s="101" t="s">
        <v>132</v>
      </c>
      <c r="F17" s="108" t="s">
        <v>167</v>
      </c>
      <c r="G17" s="101" t="s">
        <v>90</v>
      </c>
      <c r="H17" s="101" t="s">
        <v>134</v>
      </c>
      <c r="I17" s="101">
        <v>2022</v>
      </c>
      <c r="J17" s="101">
        <v>11932</v>
      </c>
      <c r="K17" s="142">
        <v>2438474</v>
      </c>
      <c r="L17" s="101" t="s">
        <v>168</v>
      </c>
      <c r="M17" s="105" t="s">
        <v>169</v>
      </c>
      <c r="N17" s="115">
        <v>1000</v>
      </c>
      <c r="O17" s="115">
        <v>217000</v>
      </c>
      <c r="P17" s="115">
        <f t="shared" si="1"/>
        <v>0</v>
      </c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</row>
    <row r="18" spans="1:28" ht="24">
      <c r="A18" s="226">
        <v>40018359</v>
      </c>
      <c r="B18" s="107">
        <v>31</v>
      </c>
      <c r="C18" s="103" t="s">
        <v>30</v>
      </c>
      <c r="D18" s="101">
        <v>0</v>
      </c>
      <c r="E18" s="101" t="s">
        <v>132</v>
      </c>
      <c r="F18" s="108" t="s">
        <v>170</v>
      </c>
      <c r="G18" s="101" t="s">
        <v>84</v>
      </c>
      <c r="H18" s="101" t="s">
        <v>134</v>
      </c>
      <c r="I18" s="101">
        <v>2021</v>
      </c>
      <c r="J18" s="101">
        <v>11216</v>
      </c>
      <c r="K18" s="142">
        <v>1314627</v>
      </c>
      <c r="L18" s="101" t="s">
        <v>157</v>
      </c>
      <c r="M18" s="105" t="s">
        <v>171</v>
      </c>
      <c r="N18" s="115">
        <v>610000</v>
      </c>
      <c r="O18" s="115">
        <v>131369</v>
      </c>
      <c r="P18" s="115">
        <f t="shared" si="1"/>
        <v>0</v>
      </c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</row>
    <row r="19" spans="1:28" ht="24">
      <c r="A19" s="226">
        <v>40013615</v>
      </c>
      <c r="B19" s="107">
        <v>31</v>
      </c>
      <c r="C19" s="103" t="s">
        <v>30</v>
      </c>
      <c r="D19" s="101">
        <v>0</v>
      </c>
      <c r="E19" s="101" t="s">
        <v>132</v>
      </c>
      <c r="F19" s="108" t="s">
        <v>172</v>
      </c>
      <c r="G19" s="101" t="s">
        <v>87</v>
      </c>
      <c r="H19" s="101" t="s">
        <v>147</v>
      </c>
      <c r="I19" s="101">
        <v>2021</v>
      </c>
      <c r="J19" s="101">
        <v>11619</v>
      </c>
      <c r="K19" s="142">
        <v>2897876</v>
      </c>
      <c r="L19" s="101" t="s">
        <v>173</v>
      </c>
      <c r="M19" s="105" t="s">
        <v>132</v>
      </c>
      <c r="N19" s="115">
        <v>890000</v>
      </c>
      <c r="O19" s="115">
        <v>50800</v>
      </c>
      <c r="P19" s="115">
        <f t="shared" si="1"/>
        <v>0</v>
      </c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</row>
    <row r="20" spans="1:28" ht="36">
      <c r="A20" s="226">
        <v>40013536</v>
      </c>
      <c r="B20" s="107">
        <v>31</v>
      </c>
      <c r="C20" s="103" t="s">
        <v>30</v>
      </c>
      <c r="D20" s="101">
        <v>0</v>
      </c>
      <c r="E20" s="101" t="s">
        <v>132</v>
      </c>
      <c r="F20" s="108" t="s">
        <v>174</v>
      </c>
      <c r="G20" s="101" t="s">
        <v>83</v>
      </c>
      <c r="H20" s="101" t="s">
        <v>134</v>
      </c>
      <c r="I20" s="101">
        <v>2019</v>
      </c>
      <c r="J20" s="101">
        <v>10343</v>
      </c>
      <c r="K20" s="142">
        <v>1976482</v>
      </c>
      <c r="L20" s="101" t="s">
        <v>135</v>
      </c>
      <c r="M20" s="105" t="s">
        <v>152</v>
      </c>
      <c r="N20" s="115">
        <v>578000</v>
      </c>
      <c r="O20" s="115">
        <v>120702</v>
      </c>
      <c r="P20" s="115">
        <f t="shared" si="1"/>
        <v>0</v>
      </c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</row>
    <row r="21" spans="1:28" ht="36">
      <c r="A21" s="226">
        <v>40011210</v>
      </c>
      <c r="B21" s="107">
        <v>31</v>
      </c>
      <c r="C21" s="103" t="s">
        <v>30</v>
      </c>
      <c r="D21" s="101">
        <v>0</v>
      </c>
      <c r="E21" s="101" t="s">
        <v>132</v>
      </c>
      <c r="F21" s="108" t="s">
        <v>175</v>
      </c>
      <c r="G21" s="101" t="s">
        <v>84</v>
      </c>
      <c r="H21" s="101" t="s">
        <v>134</v>
      </c>
      <c r="I21" s="101">
        <v>2021</v>
      </c>
      <c r="J21" s="101">
        <v>11216</v>
      </c>
      <c r="K21" s="142">
        <v>870098</v>
      </c>
      <c r="L21" s="101" t="s">
        <v>157</v>
      </c>
      <c r="M21" s="105" t="s">
        <v>169</v>
      </c>
      <c r="N21" s="115">
        <v>460000</v>
      </c>
      <c r="O21" s="115">
        <v>147703</v>
      </c>
      <c r="P21" s="115">
        <f t="shared" si="1"/>
        <v>0</v>
      </c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</row>
    <row r="22" spans="1:28" ht="24">
      <c r="A22" s="226">
        <v>30131807</v>
      </c>
      <c r="B22" s="107">
        <v>31</v>
      </c>
      <c r="C22" s="103" t="s">
        <v>30</v>
      </c>
      <c r="D22" s="101">
        <v>0</v>
      </c>
      <c r="E22" s="101" t="s">
        <v>139</v>
      </c>
      <c r="F22" s="108" t="s">
        <v>176</v>
      </c>
      <c r="G22" s="101" t="s">
        <v>83</v>
      </c>
      <c r="H22" s="101" t="s">
        <v>134</v>
      </c>
      <c r="I22" s="101">
        <v>2013</v>
      </c>
      <c r="J22" s="101">
        <v>6273</v>
      </c>
      <c r="K22" s="142">
        <v>4989981.466</v>
      </c>
      <c r="L22" s="101" t="s">
        <v>148</v>
      </c>
      <c r="M22" s="105" t="s">
        <v>177</v>
      </c>
      <c r="N22" s="115"/>
      <c r="O22" s="115"/>
      <c r="P22" s="115">
        <f t="shared" si="1"/>
        <v>0</v>
      </c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</row>
    <row r="23" spans="1:28" ht="24">
      <c r="A23" s="226">
        <v>20169586</v>
      </c>
      <c r="B23" s="107">
        <v>31</v>
      </c>
      <c r="C23" s="103" t="s">
        <v>30</v>
      </c>
      <c r="D23" s="101">
        <v>0</v>
      </c>
      <c r="E23" s="101" t="s">
        <v>132</v>
      </c>
      <c r="F23" s="108" t="s">
        <v>178</v>
      </c>
      <c r="G23" s="101" t="s">
        <v>84</v>
      </c>
      <c r="H23" s="101" t="s">
        <v>134</v>
      </c>
      <c r="I23" s="101">
        <v>2011</v>
      </c>
      <c r="J23" s="101">
        <v>4872</v>
      </c>
      <c r="K23" s="142">
        <v>22508074.537999999</v>
      </c>
      <c r="L23" s="101" t="s">
        <v>157</v>
      </c>
      <c r="M23" s="105" t="s">
        <v>132</v>
      </c>
      <c r="N23" s="115"/>
      <c r="O23" s="115">
        <v>4611</v>
      </c>
      <c r="P23" s="115">
        <f t="shared" si="1"/>
        <v>0</v>
      </c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</row>
    <row r="24" spans="1:28" ht="24">
      <c r="A24" s="226">
        <v>30086926</v>
      </c>
      <c r="B24" s="107">
        <v>31</v>
      </c>
      <c r="C24" s="103" t="s">
        <v>30</v>
      </c>
      <c r="D24" s="101">
        <v>0</v>
      </c>
      <c r="E24" s="101" t="s">
        <v>132</v>
      </c>
      <c r="F24" s="108" t="s">
        <v>179</v>
      </c>
      <c r="G24" s="101" t="s">
        <v>97</v>
      </c>
      <c r="H24" s="101" t="s">
        <v>154</v>
      </c>
      <c r="I24" s="101">
        <v>2011</v>
      </c>
      <c r="J24" s="101">
        <v>4872</v>
      </c>
      <c r="K24" s="142">
        <v>4496649</v>
      </c>
      <c r="L24" s="101" t="s">
        <v>180</v>
      </c>
      <c r="M24" s="105" t="s">
        <v>132</v>
      </c>
      <c r="N24" s="115">
        <v>593856.41999999969</v>
      </c>
      <c r="O24" s="115">
        <v>441442</v>
      </c>
      <c r="P24" s="115">
        <f t="shared" si="1"/>
        <v>0</v>
      </c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</row>
    <row r="25" spans="1:28" ht="36">
      <c r="A25" s="226">
        <v>30073116</v>
      </c>
      <c r="B25" s="107">
        <v>31</v>
      </c>
      <c r="C25" s="103" t="s">
        <v>30</v>
      </c>
      <c r="D25" s="101">
        <v>0</v>
      </c>
      <c r="E25" s="101" t="s">
        <v>132</v>
      </c>
      <c r="F25" s="108" t="s">
        <v>181</v>
      </c>
      <c r="G25" s="101" t="s">
        <v>84</v>
      </c>
      <c r="H25" s="101" t="s">
        <v>161</v>
      </c>
      <c r="I25" s="101">
        <v>2010</v>
      </c>
      <c r="J25" s="101">
        <v>4481</v>
      </c>
      <c r="K25" s="142">
        <v>222958.64500000002</v>
      </c>
      <c r="L25" s="101" t="s">
        <v>157</v>
      </c>
      <c r="M25" s="105" t="s">
        <v>177</v>
      </c>
      <c r="N25" s="115"/>
      <c r="O25" s="115"/>
      <c r="P25" s="115">
        <f t="shared" si="1"/>
        <v>0</v>
      </c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</row>
    <row r="26" spans="1:28" ht="24">
      <c r="A26" s="226">
        <v>30065234</v>
      </c>
      <c r="B26" s="107">
        <v>31</v>
      </c>
      <c r="C26" s="103" t="s">
        <v>30</v>
      </c>
      <c r="D26" s="101">
        <v>0</v>
      </c>
      <c r="E26" s="101" t="s">
        <v>132</v>
      </c>
      <c r="F26" s="108" t="s">
        <v>182</v>
      </c>
      <c r="G26" s="101" t="s">
        <v>84</v>
      </c>
      <c r="H26" s="101" t="s">
        <v>183</v>
      </c>
      <c r="I26" s="101">
        <v>2011</v>
      </c>
      <c r="J26" s="101">
        <v>4872</v>
      </c>
      <c r="K26" s="142">
        <v>3819118</v>
      </c>
      <c r="L26" s="101" t="s">
        <v>157</v>
      </c>
      <c r="M26" s="105" t="s">
        <v>171</v>
      </c>
      <c r="N26" s="115"/>
      <c r="O26" s="115"/>
      <c r="P26" s="115">
        <f t="shared" si="1"/>
        <v>0</v>
      </c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</row>
    <row r="27" spans="1:28" ht="36">
      <c r="A27" s="226">
        <v>40000654</v>
      </c>
      <c r="B27" s="107">
        <v>31</v>
      </c>
      <c r="C27" s="103" t="s">
        <v>30</v>
      </c>
      <c r="D27" s="101">
        <v>0</v>
      </c>
      <c r="E27" s="101" t="s">
        <v>139</v>
      </c>
      <c r="F27" s="108" t="s">
        <v>184</v>
      </c>
      <c r="G27" s="101" t="s">
        <v>83</v>
      </c>
      <c r="H27" s="101" t="s">
        <v>185</v>
      </c>
      <c r="I27" s="101">
        <v>2022</v>
      </c>
      <c r="J27" s="101">
        <v>11932</v>
      </c>
      <c r="K27" s="142">
        <v>304408.47600000002</v>
      </c>
      <c r="L27" s="270" t="s">
        <v>148</v>
      </c>
      <c r="M27" s="105" t="s">
        <v>177</v>
      </c>
      <c r="N27" s="115">
        <v>65534.600000000006</v>
      </c>
      <c r="O27" s="115"/>
      <c r="P27" s="115">
        <f t="shared" si="1"/>
        <v>0</v>
      </c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</row>
    <row r="28" spans="1:28" ht="24">
      <c r="A28" s="226">
        <v>30484186</v>
      </c>
      <c r="B28" s="107">
        <v>31</v>
      </c>
      <c r="C28" s="224" t="s">
        <v>30</v>
      </c>
      <c r="D28" s="101">
        <v>0</v>
      </c>
      <c r="E28" s="101" t="s">
        <v>186</v>
      </c>
      <c r="F28" s="108" t="s">
        <v>187</v>
      </c>
      <c r="G28" s="101" t="s">
        <v>92</v>
      </c>
      <c r="H28" s="101" t="s">
        <v>185</v>
      </c>
      <c r="I28" s="101">
        <v>2020</v>
      </c>
      <c r="J28" s="101">
        <v>10766</v>
      </c>
      <c r="K28" s="142">
        <v>81978</v>
      </c>
      <c r="L28" s="101" t="s">
        <v>159</v>
      </c>
      <c r="M28" s="105" t="s">
        <v>177</v>
      </c>
      <c r="N28" s="115">
        <v>15671</v>
      </c>
      <c r="O28" s="115"/>
      <c r="P28" s="115">
        <f t="shared" si="1"/>
        <v>0</v>
      </c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</row>
    <row r="29" spans="1:28" ht="60">
      <c r="A29" s="226">
        <v>30484185</v>
      </c>
      <c r="B29" s="107">
        <v>31</v>
      </c>
      <c r="C29" s="103" t="s">
        <v>30</v>
      </c>
      <c r="D29" s="101">
        <v>0</v>
      </c>
      <c r="E29" s="101" t="s">
        <v>186</v>
      </c>
      <c r="F29" s="108" t="s">
        <v>188</v>
      </c>
      <c r="G29" s="101" t="s">
        <v>92</v>
      </c>
      <c r="H29" s="101" t="s">
        <v>189</v>
      </c>
      <c r="I29" s="101">
        <v>2018</v>
      </c>
      <c r="J29" s="101" t="s">
        <v>190</v>
      </c>
      <c r="K29" s="142">
        <v>79010</v>
      </c>
      <c r="L29" s="101" t="s">
        <v>159</v>
      </c>
      <c r="M29" s="105" t="s">
        <v>177</v>
      </c>
      <c r="N29" s="115">
        <v>1000</v>
      </c>
      <c r="O29" s="115"/>
      <c r="P29" s="115">
        <f t="shared" si="1"/>
        <v>0</v>
      </c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</row>
    <row r="30" spans="1:28" ht="48">
      <c r="A30" s="226">
        <v>30432172</v>
      </c>
      <c r="B30" s="107">
        <v>31</v>
      </c>
      <c r="C30" s="103" t="s">
        <v>30</v>
      </c>
      <c r="D30" s="101">
        <v>0</v>
      </c>
      <c r="E30" s="101" t="s">
        <v>132</v>
      </c>
      <c r="F30" s="108" t="s">
        <v>191</v>
      </c>
      <c r="G30" s="101" t="s">
        <v>83</v>
      </c>
      <c r="H30" s="101" t="s">
        <v>141</v>
      </c>
      <c r="I30" s="101">
        <v>2019</v>
      </c>
      <c r="J30" s="101">
        <v>10023</v>
      </c>
      <c r="K30" s="142">
        <v>6134375</v>
      </c>
      <c r="L30" s="101" t="s">
        <v>148</v>
      </c>
      <c r="M30" s="105" t="s">
        <v>192</v>
      </c>
      <c r="N30" s="115">
        <v>120000</v>
      </c>
      <c r="O30" s="115">
        <v>62000</v>
      </c>
      <c r="P30" s="115">
        <f t="shared" si="1"/>
        <v>0</v>
      </c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</row>
    <row r="31" spans="1:28" ht="36">
      <c r="A31" s="226">
        <v>30134340</v>
      </c>
      <c r="B31" s="107">
        <v>31</v>
      </c>
      <c r="C31" s="103" t="s">
        <v>30</v>
      </c>
      <c r="D31" s="101">
        <v>0</v>
      </c>
      <c r="E31" s="101" t="s">
        <v>132</v>
      </c>
      <c r="F31" s="108" t="s">
        <v>193</v>
      </c>
      <c r="G31" s="101" t="s">
        <v>98</v>
      </c>
      <c r="H31" s="101" t="s">
        <v>141</v>
      </c>
      <c r="I31" s="101">
        <v>2018</v>
      </c>
      <c r="J31" s="101">
        <v>9636</v>
      </c>
      <c r="K31" s="142">
        <v>935796</v>
      </c>
      <c r="L31" s="101" t="s">
        <v>151</v>
      </c>
      <c r="M31" s="105" t="s">
        <v>177</v>
      </c>
      <c r="N31" s="115">
        <v>51000</v>
      </c>
      <c r="O31" s="115">
        <v>1</v>
      </c>
      <c r="P31" s="115">
        <f t="shared" si="1"/>
        <v>0</v>
      </c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</row>
    <row r="32" spans="1:28" ht="24">
      <c r="A32" s="226">
        <v>40007893</v>
      </c>
      <c r="B32" s="107">
        <v>31</v>
      </c>
      <c r="C32" s="103" t="s">
        <v>30</v>
      </c>
      <c r="D32" s="101">
        <v>0</v>
      </c>
      <c r="E32" s="101" t="s">
        <v>139</v>
      </c>
      <c r="F32" s="108" t="s">
        <v>194</v>
      </c>
      <c r="G32" s="101" t="s">
        <v>86</v>
      </c>
      <c r="H32" s="101" t="s">
        <v>134</v>
      </c>
      <c r="I32" s="101">
        <v>2022</v>
      </c>
      <c r="J32" s="101">
        <v>11932</v>
      </c>
      <c r="K32" s="142">
        <v>96547</v>
      </c>
      <c r="L32" s="101" t="s">
        <v>195</v>
      </c>
      <c r="M32" s="105" t="s">
        <v>132</v>
      </c>
      <c r="N32" s="115">
        <v>66127.899999999994</v>
      </c>
      <c r="O32" s="115">
        <v>65910</v>
      </c>
      <c r="P32" s="115">
        <f t="shared" si="1"/>
        <v>18831.400000000001</v>
      </c>
      <c r="Q32" s="115"/>
      <c r="R32" s="115"/>
      <c r="S32" s="115"/>
      <c r="T32" s="115"/>
      <c r="U32" s="115">
        <v>18831.400000000001</v>
      </c>
      <c r="V32" s="115"/>
      <c r="W32" s="115"/>
      <c r="X32" s="115"/>
      <c r="Y32" s="115"/>
      <c r="Z32" s="115"/>
      <c r="AA32" s="115"/>
      <c r="AB32" s="115"/>
    </row>
    <row r="33" spans="1:28" ht="36">
      <c r="A33" s="226">
        <v>30131804</v>
      </c>
      <c r="B33" s="107">
        <v>31</v>
      </c>
      <c r="C33" s="103" t="s">
        <v>30</v>
      </c>
      <c r="D33" s="101">
        <v>0</v>
      </c>
      <c r="E33" s="103" t="s">
        <v>132</v>
      </c>
      <c r="F33" s="108" t="s">
        <v>196</v>
      </c>
      <c r="G33" s="101" t="s">
        <v>83</v>
      </c>
      <c r="H33" s="101" t="s">
        <v>141</v>
      </c>
      <c r="I33" s="101">
        <v>2017</v>
      </c>
      <c r="J33" s="101">
        <v>8952</v>
      </c>
      <c r="K33" s="142">
        <v>3092867</v>
      </c>
      <c r="L33" s="101" t="s">
        <v>148</v>
      </c>
      <c r="M33" s="105" t="s">
        <v>177</v>
      </c>
      <c r="N33" s="115">
        <v>1000</v>
      </c>
      <c r="O33" s="115"/>
      <c r="P33" s="115">
        <f t="shared" si="1"/>
        <v>0</v>
      </c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</row>
    <row r="34" spans="1:28" ht="36">
      <c r="A34" s="226">
        <v>30275183</v>
      </c>
      <c r="B34" s="107">
        <v>31</v>
      </c>
      <c r="C34" s="103" t="s">
        <v>30</v>
      </c>
      <c r="D34" s="101">
        <v>0</v>
      </c>
      <c r="E34" s="101" t="s">
        <v>139</v>
      </c>
      <c r="F34" s="102" t="s">
        <v>197</v>
      </c>
      <c r="G34" s="101" t="s">
        <v>100</v>
      </c>
      <c r="H34" s="101" t="s">
        <v>141</v>
      </c>
      <c r="I34" s="101">
        <v>2018</v>
      </c>
      <c r="J34" s="101" t="s">
        <v>198</v>
      </c>
      <c r="K34" s="225">
        <v>66451</v>
      </c>
      <c r="L34" s="101" t="s">
        <v>199</v>
      </c>
      <c r="M34" s="105" t="s">
        <v>200</v>
      </c>
      <c r="N34" s="115">
        <v>10494</v>
      </c>
      <c r="O34" s="115"/>
      <c r="P34" s="115">
        <f t="shared" si="1"/>
        <v>0</v>
      </c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</row>
    <row r="35" spans="1:28" ht="36">
      <c r="A35" s="226">
        <v>40008745</v>
      </c>
      <c r="B35" s="107">
        <v>31</v>
      </c>
      <c r="C35" s="103" t="s">
        <v>30</v>
      </c>
      <c r="D35" s="101">
        <v>0</v>
      </c>
      <c r="E35" s="101" t="s">
        <v>132</v>
      </c>
      <c r="F35" s="108" t="s">
        <v>201</v>
      </c>
      <c r="G35" s="101" t="s">
        <v>83</v>
      </c>
      <c r="H35" s="101" t="s">
        <v>141</v>
      </c>
      <c r="I35" s="101">
        <v>2019</v>
      </c>
      <c r="J35" s="101">
        <v>10023</v>
      </c>
      <c r="K35" s="142">
        <v>3144108</v>
      </c>
      <c r="L35" s="101" t="s">
        <v>148</v>
      </c>
      <c r="M35" s="105" t="s">
        <v>171</v>
      </c>
      <c r="N35" s="115"/>
      <c r="O35" s="115"/>
      <c r="P35" s="115">
        <f t="shared" si="1"/>
        <v>0</v>
      </c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</row>
    <row r="36" spans="1:28" ht="24">
      <c r="A36" s="226">
        <v>40003156</v>
      </c>
      <c r="B36" s="101">
        <v>31</v>
      </c>
      <c r="C36" s="103" t="s">
        <v>30</v>
      </c>
      <c r="D36" s="101">
        <v>0</v>
      </c>
      <c r="E36" s="101" t="s">
        <v>139</v>
      </c>
      <c r="F36" s="108" t="s">
        <v>202</v>
      </c>
      <c r="G36" s="101" t="s">
        <v>83</v>
      </c>
      <c r="H36" s="101" t="s">
        <v>183</v>
      </c>
      <c r="I36" s="101">
        <v>2019</v>
      </c>
      <c r="J36" s="101">
        <v>9830</v>
      </c>
      <c r="K36" s="146">
        <v>104751</v>
      </c>
      <c r="L36" s="117" t="s">
        <v>148</v>
      </c>
      <c r="M36" s="105" t="s">
        <v>132</v>
      </c>
      <c r="N36" s="115">
        <v>34000</v>
      </c>
      <c r="O36" s="115">
        <v>34000</v>
      </c>
      <c r="P36" s="115">
        <f t="shared" si="1"/>
        <v>0</v>
      </c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</row>
    <row r="37" spans="1:28" ht="24">
      <c r="A37" s="226">
        <v>30010979</v>
      </c>
      <c r="B37" s="107">
        <v>31</v>
      </c>
      <c r="C37" s="103" t="s">
        <v>30</v>
      </c>
      <c r="D37" s="101">
        <v>0</v>
      </c>
      <c r="E37" s="101" t="s">
        <v>132</v>
      </c>
      <c r="F37" s="108" t="s">
        <v>203</v>
      </c>
      <c r="G37" s="101" t="s">
        <v>90</v>
      </c>
      <c r="H37" s="101" t="s">
        <v>204</v>
      </c>
      <c r="I37" s="101">
        <v>2018</v>
      </c>
      <c r="J37" s="101">
        <v>9636</v>
      </c>
      <c r="K37" s="142">
        <v>593478.44700000004</v>
      </c>
      <c r="L37" s="101" t="s">
        <v>205</v>
      </c>
      <c r="M37" s="105" t="s">
        <v>132</v>
      </c>
      <c r="N37" s="115"/>
      <c r="O37" s="115"/>
      <c r="P37" s="115">
        <f t="shared" si="1"/>
        <v>0</v>
      </c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</row>
    <row r="38" spans="1:28" ht="24">
      <c r="A38" s="226">
        <v>30100596</v>
      </c>
      <c r="B38" s="107">
        <v>31</v>
      </c>
      <c r="C38" s="103" t="s">
        <v>30</v>
      </c>
      <c r="D38" s="101">
        <v>0</v>
      </c>
      <c r="E38" s="101" t="s">
        <v>132</v>
      </c>
      <c r="F38" s="108" t="s">
        <v>206</v>
      </c>
      <c r="G38" s="101" t="s">
        <v>93</v>
      </c>
      <c r="H38" s="101" t="s">
        <v>204</v>
      </c>
      <c r="I38" s="101">
        <v>2018</v>
      </c>
      <c r="J38" s="101">
        <v>9636</v>
      </c>
      <c r="K38" s="142">
        <v>593506</v>
      </c>
      <c r="L38" s="101" t="s">
        <v>205</v>
      </c>
      <c r="M38" s="105" t="s">
        <v>171</v>
      </c>
      <c r="N38" s="115"/>
      <c r="O38" s="115"/>
      <c r="P38" s="115">
        <f t="shared" si="1"/>
        <v>0</v>
      </c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</row>
    <row r="39" spans="1:28" ht="36">
      <c r="A39" s="226">
        <v>30431172</v>
      </c>
      <c r="B39" s="107">
        <v>31</v>
      </c>
      <c r="C39" s="103" t="s">
        <v>30</v>
      </c>
      <c r="D39" s="101">
        <v>0</v>
      </c>
      <c r="E39" s="101" t="s">
        <v>139</v>
      </c>
      <c r="F39" s="108" t="s">
        <v>207</v>
      </c>
      <c r="G39" s="101" t="s">
        <v>83</v>
      </c>
      <c r="H39" s="101" t="s">
        <v>185</v>
      </c>
      <c r="I39" s="101">
        <v>2018</v>
      </c>
      <c r="J39" s="101">
        <v>9060</v>
      </c>
      <c r="K39" s="142">
        <v>179096</v>
      </c>
      <c r="L39" s="101" t="s">
        <v>148</v>
      </c>
      <c r="M39" s="105" t="s">
        <v>177</v>
      </c>
      <c r="N39" s="115">
        <v>24000</v>
      </c>
      <c r="O39" s="115"/>
      <c r="P39" s="115">
        <f t="shared" si="1"/>
        <v>0</v>
      </c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</row>
    <row r="40" spans="1:28">
      <c r="A40" s="228" t="s">
        <v>208</v>
      </c>
      <c r="B40" s="107">
        <v>34</v>
      </c>
      <c r="C40" s="103" t="s">
        <v>43</v>
      </c>
      <c r="D40" s="101">
        <v>0</v>
      </c>
      <c r="E40" s="101" t="s">
        <v>132</v>
      </c>
      <c r="F40" s="108" t="s">
        <v>209</v>
      </c>
      <c r="G40" s="117" t="s">
        <v>210</v>
      </c>
      <c r="H40" s="101" t="s">
        <v>208</v>
      </c>
      <c r="I40" s="101" t="s">
        <v>208</v>
      </c>
      <c r="J40" s="101" t="s">
        <v>208</v>
      </c>
      <c r="K40" s="117" t="s">
        <v>211</v>
      </c>
      <c r="L40" s="101" t="s">
        <v>208</v>
      </c>
      <c r="M40" s="105" t="s">
        <v>211</v>
      </c>
      <c r="N40" s="115"/>
      <c r="O40" s="115">
        <v>2782889.503</v>
      </c>
      <c r="P40" s="115">
        <f t="shared" si="1"/>
        <v>2782889.503</v>
      </c>
      <c r="Q40" s="115">
        <v>2782889.503</v>
      </c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</row>
    <row r="41" spans="1:28" ht="24">
      <c r="A41" s="226">
        <v>40000508</v>
      </c>
      <c r="B41" s="107">
        <v>31</v>
      </c>
      <c r="C41" s="103" t="s">
        <v>25</v>
      </c>
      <c r="D41" s="101"/>
      <c r="E41" s="101" t="s">
        <v>132</v>
      </c>
      <c r="F41" s="108" t="s">
        <v>212</v>
      </c>
      <c r="G41" s="101" t="s">
        <v>103</v>
      </c>
      <c r="H41" s="101" t="s">
        <v>213</v>
      </c>
      <c r="I41" s="101">
        <v>2018</v>
      </c>
      <c r="J41" s="101">
        <v>9136</v>
      </c>
      <c r="K41" s="142">
        <v>307800</v>
      </c>
      <c r="L41" s="101" t="s">
        <v>214</v>
      </c>
      <c r="M41" s="105" t="s">
        <v>132</v>
      </c>
      <c r="N41" s="115"/>
      <c r="O41" s="115">
        <v>30000</v>
      </c>
      <c r="P41" s="115">
        <f t="shared" si="1"/>
        <v>29770</v>
      </c>
      <c r="Q41" s="115"/>
      <c r="R41" s="115"/>
      <c r="S41" s="115"/>
      <c r="T41" s="115"/>
      <c r="U41" s="115">
        <v>29770</v>
      </c>
      <c r="V41" s="115"/>
      <c r="W41" s="115"/>
      <c r="X41" s="115"/>
      <c r="Y41" s="115"/>
      <c r="Z41" s="115"/>
      <c r="AA41" s="115"/>
      <c r="AB41" s="115"/>
    </row>
    <row r="42" spans="1:28" ht="24">
      <c r="A42" s="228" t="s">
        <v>208</v>
      </c>
      <c r="B42" s="107">
        <v>31</v>
      </c>
      <c r="C42" s="103" t="s">
        <v>30</v>
      </c>
      <c r="D42" s="107">
        <v>0</v>
      </c>
      <c r="E42" s="101" t="s">
        <v>208</v>
      </c>
      <c r="F42" s="146" t="s">
        <v>215</v>
      </c>
      <c r="G42" s="101" t="s">
        <v>211</v>
      </c>
      <c r="H42" s="101" t="s">
        <v>208</v>
      </c>
      <c r="I42" s="101" t="s">
        <v>211</v>
      </c>
      <c r="J42" s="101" t="s">
        <v>211</v>
      </c>
      <c r="K42" s="117" t="s">
        <v>211</v>
      </c>
      <c r="L42" s="101" t="s">
        <v>216</v>
      </c>
      <c r="M42" s="105" t="s">
        <v>211</v>
      </c>
      <c r="N42" s="115">
        <v>544441.92700000003</v>
      </c>
      <c r="O42" s="115"/>
      <c r="P42" s="115">
        <f t="shared" si="1"/>
        <v>0</v>
      </c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</row>
    <row r="43" spans="1:28" ht="24">
      <c r="A43" s="226">
        <v>30097621</v>
      </c>
      <c r="B43" s="107">
        <v>31</v>
      </c>
      <c r="C43" s="103" t="s">
        <v>30</v>
      </c>
      <c r="D43" s="101">
        <v>0</v>
      </c>
      <c r="E43" s="101" t="s">
        <v>132</v>
      </c>
      <c r="F43" s="108" t="s">
        <v>217</v>
      </c>
      <c r="G43" s="101" t="s">
        <v>84</v>
      </c>
      <c r="H43" s="101" t="s">
        <v>134</v>
      </c>
      <c r="I43" s="101">
        <v>2014</v>
      </c>
      <c r="J43" s="101">
        <v>6456</v>
      </c>
      <c r="K43" s="142">
        <v>270801</v>
      </c>
      <c r="L43" s="101" t="s">
        <v>157</v>
      </c>
      <c r="M43" s="105" t="s">
        <v>132</v>
      </c>
      <c r="N43" s="115">
        <v>51160.229000000021</v>
      </c>
      <c r="O43" s="115">
        <v>8812</v>
      </c>
      <c r="P43" s="115">
        <f t="shared" si="1"/>
        <v>0</v>
      </c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</row>
    <row r="44" spans="1:28" ht="36">
      <c r="A44" s="226">
        <v>30483251</v>
      </c>
      <c r="B44" s="107">
        <v>31</v>
      </c>
      <c r="C44" s="103" t="s">
        <v>30</v>
      </c>
      <c r="D44" s="101">
        <v>0</v>
      </c>
      <c r="E44" s="101" t="s">
        <v>139</v>
      </c>
      <c r="F44" s="108" t="s">
        <v>218</v>
      </c>
      <c r="G44" s="101" t="s">
        <v>83</v>
      </c>
      <c r="H44" s="101" t="s">
        <v>161</v>
      </c>
      <c r="I44" s="101">
        <v>2017</v>
      </c>
      <c r="J44" s="101">
        <v>8952</v>
      </c>
      <c r="K44" s="142">
        <v>978318</v>
      </c>
      <c r="L44" s="101" t="s">
        <v>148</v>
      </c>
      <c r="M44" s="105" t="s">
        <v>166</v>
      </c>
      <c r="N44" s="115">
        <v>4700</v>
      </c>
      <c r="O44" s="115">
        <v>21160</v>
      </c>
      <c r="P44" s="115">
        <f t="shared" si="1"/>
        <v>0</v>
      </c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</row>
    <row r="45" spans="1:28" ht="24">
      <c r="A45" s="226">
        <v>30124186</v>
      </c>
      <c r="B45" s="107">
        <v>31</v>
      </c>
      <c r="C45" s="103" t="s">
        <v>30</v>
      </c>
      <c r="D45" s="101">
        <v>0</v>
      </c>
      <c r="E45" s="101" t="s">
        <v>132</v>
      </c>
      <c r="F45" s="108" t="s">
        <v>219</v>
      </c>
      <c r="G45" s="101" t="s">
        <v>94</v>
      </c>
      <c r="H45" s="101" t="s">
        <v>154</v>
      </c>
      <c r="I45" s="101">
        <v>2017</v>
      </c>
      <c r="J45" s="101">
        <v>8952</v>
      </c>
      <c r="K45" s="142">
        <v>1110047</v>
      </c>
      <c r="L45" s="101" t="s">
        <v>220</v>
      </c>
      <c r="M45" s="105" t="s">
        <v>177</v>
      </c>
      <c r="N45" s="115">
        <v>1000</v>
      </c>
      <c r="O45" s="115"/>
      <c r="P45" s="115">
        <f t="shared" si="1"/>
        <v>0</v>
      </c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</row>
    <row r="46" spans="1:28" ht="24">
      <c r="A46" s="226">
        <v>30150673</v>
      </c>
      <c r="B46" s="107">
        <v>31</v>
      </c>
      <c r="C46" s="103" t="s">
        <v>30</v>
      </c>
      <c r="D46" s="101">
        <v>0</v>
      </c>
      <c r="E46" s="101" t="s">
        <v>132</v>
      </c>
      <c r="F46" s="108" t="s">
        <v>221</v>
      </c>
      <c r="G46" s="101" t="s">
        <v>94</v>
      </c>
      <c r="H46" s="101" t="s">
        <v>154</v>
      </c>
      <c r="I46" s="101">
        <v>2017</v>
      </c>
      <c r="J46" s="101">
        <v>8952</v>
      </c>
      <c r="K46" s="142">
        <v>566289</v>
      </c>
      <c r="L46" s="101" t="s">
        <v>220</v>
      </c>
      <c r="M46" s="105" t="s">
        <v>177</v>
      </c>
      <c r="N46" s="115">
        <v>1000</v>
      </c>
      <c r="O46" s="115"/>
      <c r="P46" s="115">
        <f t="shared" si="1"/>
        <v>0</v>
      </c>
      <c r="Q46" s="115"/>
      <c r="R46" s="115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</row>
    <row r="47" spans="1:28" ht="24">
      <c r="A47" s="226">
        <v>30086690</v>
      </c>
      <c r="B47" s="107">
        <v>31</v>
      </c>
      <c r="C47" s="103" t="s">
        <v>30</v>
      </c>
      <c r="D47" s="101">
        <v>0</v>
      </c>
      <c r="E47" s="101" t="s">
        <v>132</v>
      </c>
      <c r="F47" s="108" t="s">
        <v>222</v>
      </c>
      <c r="G47" s="101" t="s">
        <v>87</v>
      </c>
      <c r="H47" s="101" t="s">
        <v>154</v>
      </c>
      <c r="I47" s="101">
        <v>2012</v>
      </c>
      <c r="J47" s="101">
        <v>5393</v>
      </c>
      <c r="K47" s="142">
        <v>6016223</v>
      </c>
      <c r="L47" s="101" t="s">
        <v>223</v>
      </c>
      <c r="M47" s="105" t="s">
        <v>224</v>
      </c>
      <c r="N47" s="115">
        <v>15000</v>
      </c>
      <c r="O47" s="115"/>
      <c r="P47" s="115">
        <f t="shared" si="1"/>
        <v>0</v>
      </c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</row>
    <row r="48" spans="1:28" ht="36">
      <c r="A48" s="226">
        <v>40016874</v>
      </c>
      <c r="B48" s="107">
        <v>31</v>
      </c>
      <c r="C48" s="103" t="s">
        <v>30</v>
      </c>
      <c r="D48" s="101">
        <v>0</v>
      </c>
      <c r="E48" s="101" t="s">
        <v>132</v>
      </c>
      <c r="F48" s="108" t="s">
        <v>225</v>
      </c>
      <c r="G48" s="101" t="s">
        <v>99</v>
      </c>
      <c r="H48" s="101" t="s">
        <v>141</v>
      </c>
      <c r="I48" s="101">
        <v>2021</v>
      </c>
      <c r="J48" s="101">
        <v>11216</v>
      </c>
      <c r="K48" s="142">
        <v>2741445</v>
      </c>
      <c r="L48" s="270" t="s">
        <v>226</v>
      </c>
      <c r="M48" s="105" t="s">
        <v>132</v>
      </c>
      <c r="N48" s="115">
        <v>185880</v>
      </c>
      <c r="O48" s="115">
        <v>193688</v>
      </c>
      <c r="P48" s="115">
        <f t="shared" si="1"/>
        <v>0</v>
      </c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</row>
    <row r="49" spans="1:28" ht="36">
      <c r="A49" s="226">
        <v>30091815</v>
      </c>
      <c r="B49" s="107">
        <v>31</v>
      </c>
      <c r="C49" s="103" t="s">
        <v>30</v>
      </c>
      <c r="D49" s="101">
        <v>0</v>
      </c>
      <c r="E49" s="101" t="s">
        <v>132</v>
      </c>
      <c r="F49" s="108" t="s">
        <v>227</v>
      </c>
      <c r="G49" s="101" t="s">
        <v>90</v>
      </c>
      <c r="H49" s="101" t="s">
        <v>141</v>
      </c>
      <c r="I49" s="101">
        <v>2021</v>
      </c>
      <c r="J49" s="101">
        <v>11216</v>
      </c>
      <c r="K49" s="142">
        <v>5990835.1739999996</v>
      </c>
      <c r="L49" s="101" t="s">
        <v>168</v>
      </c>
      <c r="M49" s="105" t="s">
        <v>132</v>
      </c>
      <c r="N49" s="115">
        <v>2100000</v>
      </c>
      <c r="O49" s="115">
        <v>1031407</v>
      </c>
      <c r="P49" s="115">
        <f t="shared" si="1"/>
        <v>390870.61100000003</v>
      </c>
      <c r="Q49" s="115"/>
      <c r="R49" s="115"/>
      <c r="S49" s="115"/>
      <c r="T49" s="115">
        <v>183124.14600000001</v>
      </c>
      <c r="U49" s="115">
        <v>74292.066000000006</v>
      </c>
      <c r="V49" s="115">
        <v>133454.399</v>
      </c>
      <c r="W49" s="115"/>
      <c r="X49" s="115"/>
      <c r="Y49" s="115"/>
      <c r="Z49" s="115"/>
      <c r="AA49" s="115"/>
      <c r="AB49" s="115"/>
    </row>
    <row r="50" spans="1:28" ht="36">
      <c r="A50" s="226">
        <v>30483947</v>
      </c>
      <c r="B50" s="101">
        <v>31</v>
      </c>
      <c r="C50" s="103" t="s">
        <v>30</v>
      </c>
      <c r="D50" s="101">
        <v>0</v>
      </c>
      <c r="E50" s="101" t="s">
        <v>132</v>
      </c>
      <c r="F50" s="108" t="s">
        <v>228</v>
      </c>
      <c r="G50" s="101" t="s">
        <v>98</v>
      </c>
      <c r="H50" s="101" t="s">
        <v>141</v>
      </c>
      <c r="I50" s="101">
        <v>2022</v>
      </c>
      <c r="J50" s="101">
        <v>12542</v>
      </c>
      <c r="K50" s="142">
        <v>560777</v>
      </c>
      <c r="L50" s="101" t="s">
        <v>226</v>
      </c>
      <c r="M50" s="105" t="s">
        <v>132</v>
      </c>
      <c r="N50" s="115">
        <v>145962.61199999996</v>
      </c>
      <c r="O50" s="115">
        <v>122873</v>
      </c>
      <c r="P50" s="115">
        <f t="shared" si="1"/>
        <v>122872.322</v>
      </c>
      <c r="Q50" s="115"/>
      <c r="R50" s="115"/>
      <c r="S50" s="115">
        <v>11001.749</v>
      </c>
      <c r="T50" s="115"/>
      <c r="U50" s="115"/>
      <c r="V50" s="115">
        <v>111870.573</v>
      </c>
      <c r="W50" s="115"/>
      <c r="X50" s="115"/>
      <c r="Y50" s="115"/>
      <c r="Z50" s="115"/>
      <c r="AA50" s="115"/>
      <c r="AB50" s="115"/>
    </row>
    <row r="51" spans="1:28" ht="36">
      <c r="A51" s="226">
        <v>30393924</v>
      </c>
      <c r="B51" s="107">
        <v>31</v>
      </c>
      <c r="C51" s="103" t="s">
        <v>30</v>
      </c>
      <c r="D51" s="101">
        <v>0</v>
      </c>
      <c r="E51" s="101" t="s">
        <v>132</v>
      </c>
      <c r="F51" s="108" t="s">
        <v>229</v>
      </c>
      <c r="G51" s="101" t="s">
        <v>94</v>
      </c>
      <c r="H51" s="101" t="s">
        <v>141</v>
      </c>
      <c r="I51" s="101">
        <v>2017</v>
      </c>
      <c r="J51" s="101">
        <v>8952</v>
      </c>
      <c r="K51" s="142">
        <v>696504</v>
      </c>
      <c r="L51" s="101" t="s">
        <v>159</v>
      </c>
      <c r="M51" s="105" t="s">
        <v>177</v>
      </c>
      <c r="N51" s="115">
        <v>1000</v>
      </c>
      <c r="O51" s="115"/>
      <c r="P51" s="115">
        <f t="shared" si="1"/>
        <v>0</v>
      </c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</row>
    <row r="52" spans="1:28" ht="24">
      <c r="A52" s="226">
        <v>40006352</v>
      </c>
      <c r="B52" s="107">
        <v>31</v>
      </c>
      <c r="C52" s="103" t="s">
        <v>30</v>
      </c>
      <c r="D52" s="101">
        <v>0</v>
      </c>
      <c r="E52" s="101" t="s">
        <v>132</v>
      </c>
      <c r="F52" s="108" t="s">
        <v>230</v>
      </c>
      <c r="G52" s="101" t="s">
        <v>92</v>
      </c>
      <c r="H52" s="101" t="s">
        <v>134</v>
      </c>
      <c r="I52" s="101">
        <v>2018</v>
      </c>
      <c r="J52" s="101">
        <v>9636</v>
      </c>
      <c r="K52" s="142">
        <v>1744116</v>
      </c>
      <c r="L52" s="101" t="s">
        <v>135</v>
      </c>
      <c r="M52" s="105" t="s">
        <v>132</v>
      </c>
      <c r="N52" s="115">
        <v>263000</v>
      </c>
      <c r="O52" s="115">
        <v>336975</v>
      </c>
      <c r="P52" s="115">
        <f t="shared" si="1"/>
        <v>61341.156000000003</v>
      </c>
      <c r="Q52" s="115"/>
      <c r="R52" s="115"/>
      <c r="S52" s="115">
        <v>30522.902999999998</v>
      </c>
      <c r="T52" s="115"/>
      <c r="U52" s="115">
        <v>30818.253000000001</v>
      </c>
      <c r="V52" s="115"/>
      <c r="W52" s="115"/>
      <c r="X52" s="115"/>
      <c r="Y52" s="115"/>
      <c r="Z52" s="115"/>
      <c r="AA52" s="115"/>
      <c r="AB52" s="115"/>
    </row>
    <row r="53" spans="1:28" ht="24">
      <c r="A53" s="226">
        <v>30073874</v>
      </c>
      <c r="B53" s="101">
        <v>31</v>
      </c>
      <c r="C53" s="103" t="s">
        <v>30</v>
      </c>
      <c r="D53" s="101">
        <v>0</v>
      </c>
      <c r="E53" s="101" t="s">
        <v>132</v>
      </c>
      <c r="F53" s="108" t="s">
        <v>231</v>
      </c>
      <c r="G53" s="101" t="s">
        <v>92</v>
      </c>
      <c r="H53" s="101" t="s">
        <v>147</v>
      </c>
      <c r="I53" s="101">
        <v>2018</v>
      </c>
      <c r="J53" s="101">
        <v>9219</v>
      </c>
      <c r="K53" s="146">
        <v>10194747</v>
      </c>
      <c r="L53" s="101" t="s">
        <v>135</v>
      </c>
      <c r="M53" s="105" t="s">
        <v>132</v>
      </c>
      <c r="N53" s="115">
        <v>684227</v>
      </c>
      <c r="O53" s="115">
        <v>1498616</v>
      </c>
      <c r="P53" s="115">
        <f t="shared" si="1"/>
        <v>876075.21699999995</v>
      </c>
      <c r="Q53" s="115"/>
      <c r="R53" s="115"/>
      <c r="S53" s="115">
        <v>871041.223</v>
      </c>
      <c r="T53" s="115"/>
      <c r="U53" s="115"/>
      <c r="V53" s="115">
        <v>5033.9939999999997</v>
      </c>
      <c r="W53" s="115"/>
      <c r="X53" s="115"/>
      <c r="Y53" s="115"/>
      <c r="Z53" s="115"/>
      <c r="AA53" s="115"/>
      <c r="AB53" s="115"/>
    </row>
    <row r="54" spans="1:28" ht="36">
      <c r="A54" s="226">
        <v>30109832</v>
      </c>
      <c r="B54" s="107">
        <v>31</v>
      </c>
      <c r="C54" s="103" t="s">
        <v>30</v>
      </c>
      <c r="D54" s="101">
        <v>0</v>
      </c>
      <c r="E54" s="101" t="s">
        <v>132</v>
      </c>
      <c r="F54" s="108" t="s">
        <v>232</v>
      </c>
      <c r="G54" s="101" t="s">
        <v>91</v>
      </c>
      <c r="H54" s="101" t="s">
        <v>161</v>
      </c>
      <c r="I54" s="101">
        <v>2018</v>
      </c>
      <c r="J54" s="101">
        <v>9060</v>
      </c>
      <c r="K54" s="142">
        <v>2106707</v>
      </c>
      <c r="L54" s="101" t="s">
        <v>138</v>
      </c>
      <c r="M54" s="105" t="s">
        <v>132</v>
      </c>
      <c r="N54" s="115">
        <v>52000</v>
      </c>
      <c r="O54" s="115">
        <v>62679</v>
      </c>
      <c r="P54" s="115">
        <f t="shared" si="1"/>
        <v>16577.89</v>
      </c>
      <c r="Q54" s="115"/>
      <c r="R54" s="115"/>
      <c r="S54" s="115">
        <v>16577.89</v>
      </c>
      <c r="T54" s="115"/>
      <c r="U54" s="115"/>
      <c r="V54" s="115"/>
      <c r="W54" s="115"/>
      <c r="X54" s="115"/>
      <c r="Y54" s="115"/>
      <c r="Z54" s="115"/>
      <c r="AA54" s="115"/>
      <c r="AB54" s="115"/>
    </row>
    <row r="55" spans="1:28" ht="24">
      <c r="A55" s="226">
        <v>30484211</v>
      </c>
      <c r="B55" s="107">
        <v>31</v>
      </c>
      <c r="C55" s="103" t="s">
        <v>30</v>
      </c>
      <c r="D55" s="101">
        <v>0</v>
      </c>
      <c r="E55" s="101" t="s">
        <v>132</v>
      </c>
      <c r="F55" s="108" t="s">
        <v>233</v>
      </c>
      <c r="G55" s="101" t="s">
        <v>84</v>
      </c>
      <c r="H55" s="101" t="s">
        <v>150</v>
      </c>
      <c r="I55" s="101">
        <v>2017</v>
      </c>
      <c r="J55" s="101" t="s">
        <v>234</v>
      </c>
      <c r="K55" s="142">
        <v>1923253.675</v>
      </c>
      <c r="L55" s="101" t="s">
        <v>135</v>
      </c>
      <c r="M55" s="105" t="s">
        <v>132</v>
      </c>
      <c r="N55" s="115">
        <v>188000</v>
      </c>
      <c r="O55" s="115">
        <v>195369</v>
      </c>
      <c r="P55" s="115">
        <f t="shared" si="1"/>
        <v>0</v>
      </c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</row>
    <row r="56" spans="1:28" ht="24">
      <c r="A56" s="226">
        <v>30176672</v>
      </c>
      <c r="B56" s="107">
        <v>31</v>
      </c>
      <c r="C56" s="103" t="s">
        <v>30</v>
      </c>
      <c r="D56" s="101">
        <v>0</v>
      </c>
      <c r="E56" s="101" t="s">
        <v>132</v>
      </c>
      <c r="F56" s="108" t="s">
        <v>235</v>
      </c>
      <c r="G56" s="101" t="s">
        <v>85</v>
      </c>
      <c r="H56" s="101" t="s">
        <v>150</v>
      </c>
      <c r="I56" s="101">
        <v>2021</v>
      </c>
      <c r="J56" s="101">
        <v>11216</v>
      </c>
      <c r="K56" s="142">
        <v>533781</v>
      </c>
      <c r="L56" s="270" t="s">
        <v>236</v>
      </c>
      <c r="M56" s="105" t="s">
        <v>132</v>
      </c>
      <c r="N56" s="115">
        <v>375730</v>
      </c>
      <c r="O56" s="115">
        <v>344994</v>
      </c>
      <c r="P56" s="115">
        <f t="shared" si="1"/>
        <v>16541.794999999998</v>
      </c>
      <c r="Q56" s="115"/>
      <c r="R56" s="115"/>
      <c r="S56" s="115">
        <v>16541.794999999998</v>
      </c>
      <c r="T56" s="115"/>
      <c r="U56" s="115"/>
      <c r="V56" s="115"/>
      <c r="W56" s="115"/>
      <c r="X56" s="115"/>
      <c r="Y56" s="115"/>
      <c r="Z56" s="115"/>
      <c r="AA56" s="115"/>
      <c r="AB56" s="115"/>
    </row>
    <row r="57" spans="1:28" ht="36">
      <c r="A57" s="226">
        <v>30109834</v>
      </c>
      <c r="B57" s="107">
        <v>31</v>
      </c>
      <c r="C57" s="103" t="s">
        <v>30</v>
      </c>
      <c r="D57" s="101">
        <v>0</v>
      </c>
      <c r="E57" s="101" t="s">
        <v>132</v>
      </c>
      <c r="F57" s="108" t="s">
        <v>237</v>
      </c>
      <c r="G57" s="101" t="s">
        <v>91</v>
      </c>
      <c r="H57" s="101" t="s">
        <v>161</v>
      </c>
      <c r="I57" s="101">
        <v>2018</v>
      </c>
      <c r="J57" s="101">
        <v>9060</v>
      </c>
      <c r="K57" s="142">
        <v>2744363</v>
      </c>
      <c r="L57" s="101" t="s">
        <v>135</v>
      </c>
      <c r="M57" s="105" t="s">
        <v>132</v>
      </c>
      <c r="N57" s="115">
        <v>132000</v>
      </c>
      <c r="O57" s="115">
        <v>203838</v>
      </c>
      <c r="P57" s="115">
        <f t="shared" ref="P57:P104" si="2">SUM(Q57:AB57)</f>
        <v>74290.040000000008</v>
      </c>
      <c r="Q57" s="115"/>
      <c r="R57" s="115"/>
      <c r="S57" s="115">
        <v>68317.653000000006</v>
      </c>
      <c r="T57" s="115"/>
      <c r="U57" s="115">
        <v>5972.3869999999997</v>
      </c>
      <c r="V57" s="115"/>
      <c r="W57" s="115"/>
      <c r="X57" s="115"/>
      <c r="Y57" s="115"/>
      <c r="Z57" s="115"/>
      <c r="AA57" s="115"/>
      <c r="AB57" s="115"/>
    </row>
    <row r="58" spans="1:28" ht="36">
      <c r="A58" s="226">
        <v>30084699</v>
      </c>
      <c r="B58" s="107">
        <v>31</v>
      </c>
      <c r="C58" s="103" t="s">
        <v>30</v>
      </c>
      <c r="D58" s="101">
        <v>0</v>
      </c>
      <c r="E58" s="101" t="s">
        <v>132</v>
      </c>
      <c r="F58" s="108" t="s">
        <v>238</v>
      </c>
      <c r="G58" s="101" t="s">
        <v>92</v>
      </c>
      <c r="H58" s="101" t="s">
        <v>161</v>
      </c>
      <c r="I58" s="101">
        <v>2014</v>
      </c>
      <c r="J58" s="101">
        <v>6456</v>
      </c>
      <c r="K58" s="142">
        <v>11839577</v>
      </c>
      <c r="L58" s="101" t="s">
        <v>135</v>
      </c>
      <c r="M58" s="105" t="s">
        <v>171</v>
      </c>
      <c r="N58" s="115">
        <v>1000</v>
      </c>
      <c r="O58" s="115"/>
      <c r="P58" s="115">
        <f t="shared" si="2"/>
        <v>0</v>
      </c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</row>
    <row r="59" spans="1:28" ht="48">
      <c r="A59" s="226">
        <v>40004196</v>
      </c>
      <c r="B59" s="101">
        <v>31</v>
      </c>
      <c r="C59" s="103" t="s">
        <v>30</v>
      </c>
      <c r="D59" s="101">
        <v>0</v>
      </c>
      <c r="E59" s="101" t="s">
        <v>132</v>
      </c>
      <c r="F59" s="108" t="s">
        <v>239</v>
      </c>
      <c r="G59" s="101" t="s">
        <v>91</v>
      </c>
      <c r="H59" s="101" t="s">
        <v>161</v>
      </c>
      <c r="I59" s="101">
        <v>2018</v>
      </c>
      <c r="J59" s="101">
        <v>9636</v>
      </c>
      <c r="K59" s="146">
        <v>3635065</v>
      </c>
      <c r="L59" s="117" t="s">
        <v>240</v>
      </c>
      <c r="M59" s="105" t="s">
        <v>132</v>
      </c>
      <c r="N59" s="115">
        <v>234399.97300000011</v>
      </c>
      <c r="O59" s="115">
        <v>92299</v>
      </c>
      <c r="P59" s="115">
        <f t="shared" si="2"/>
        <v>0</v>
      </c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</row>
    <row r="60" spans="1:28" ht="36">
      <c r="A60" s="226">
        <v>40004434</v>
      </c>
      <c r="B60" s="101">
        <v>31</v>
      </c>
      <c r="C60" s="103" t="s">
        <v>30</v>
      </c>
      <c r="D60" s="101">
        <v>0</v>
      </c>
      <c r="E60" s="101" t="s">
        <v>132</v>
      </c>
      <c r="F60" s="108" t="s">
        <v>241</v>
      </c>
      <c r="G60" s="101" t="s">
        <v>91</v>
      </c>
      <c r="H60" s="101" t="s">
        <v>161</v>
      </c>
      <c r="I60" s="101">
        <v>2018</v>
      </c>
      <c r="J60" s="101">
        <v>9636</v>
      </c>
      <c r="K60" s="146">
        <v>3841944</v>
      </c>
      <c r="L60" s="117" t="s">
        <v>138</v>
      </c>
      <c r="M60" s="105" t="s">
        <v>164</v>
      </c>
      <c r="N60" s="115">
        <v>420000</v>
      </c>
      <c r="O60" s="115">
        <v>864330</v>
      </c>
      <c r="P60" s="115">
        <f t="shared" si="2"/>
        <v>0</v>
      </c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</row>
    <row r="61" spans="1:28" ht="36">
      <c r="A61" s="226">
        <v>30007043</v>
      </c>
      <c r="B61" s="107">
        <v>31</v>
      </c>
      <c r="C61" s="103" t="s">
        <v>30</v>
      </c>
      <c r="D61" s="101">
        <v>0</v>
      </c>
      <c r="E61" s="101" t="s">
        <v>132</v>
      </c>
      <c r="F61" s="108" t="s">
        <v>242</v>
      </c>
      <c r="G61" s="101" t="s">
        <v>90</v>
      </c>
      <c r="H61" s="101" t="s">
        <v>161</v>
      </c>
      <c r="I61" s="101">
        <v>2019</v>
      </c>
      <c r="J61" s="101">
        <v>10369</v>
      </c>
      <c r="K61" s="142">
        <v>2732706</v>
      </c>
      <c r="L61" s="101" t="s">
        <v>168</v>
      </c>
      <c r="M61" s="105" t="s">
        <v>243</v>
      </c>
      <c r="N61" s="115"/>
      <c r="O61" s="115"/>
      <c r="P61" s="115">
        <f t="shared" si="2"/>
        <v>0</v>
      </c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</row>
    <row r="62" spans="1:28" ht="36">
      <c r="A62" s="226">
        <v>30460171</v>
      </c>
      <c r="B62" s="107">
        <v>31</v>
      </c>
      <c r="C62" s="103" t="s">
        <v>30</v>
      </c>
      <c r="D62" s="101">
        <v>0</v>
      </c>
      <c r="E62" s="101" t="s">
        <v>132</v>
      </c>
      <c r="F62" s="108" t="s">
        <v>244</v>
      </c>
      <c r="G62" s="101" t="s">
        <v>98</v>
      </c>
      <c r="H62" s="101" t="s">
        <v>141</v>
      </c>
      <c r="I62" s="101">
        <v>2018</v>
      </c>
      <c r="J62" s="101">
        <v>9636</v>
      </c>
      <c r="K62" s="142">
        <v>723201</v>
      </c>
      <c r="L62" s="101" t="s">
        <v>151</v>
      </c>
      <c r="M62" s="105" t="s">
        <v>177</v>
      </c>
      <c r="N62" s="115">
        <v>1000</v>
      </c>
      <c r="O62" s="115">
        <v>1</v>
      </c>
      <c r="P62" s="115">
        <f t="shared" si="2"/>
        <v>0</v>
      </c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</row>
    <row r="63" spans="1:28" ht="24">
      <c r="A63" s="226">
        <v>30139823</v>
      </c>
      <c r="B63" s="107">
        <v>31</v>
      </c>
      <c r="C63" s="103" t="s">
        <v>30</v>
      </c>
      <c r="D63" s="101">
        <v>0</v>
      </c>
      <c r="E63" s="101" t="s">
        <v>139</v>
      </c>
      <c r="F63" s="102" t="s">
        <v>245</v>
      </c>
      <c r="G63" s="101" t="s">
        <v>100</v>
      </c>
      <c r="H63" s="101" t="s">
        <v>147</v>
      </c>
      <c r="I63" s="101">
        <v>2018</v>
      </c>
      <c r="J63" s="101" t="s">
        <v>198</v>
      </c>
      <c r="K63" s="142">
        <v>26629</v>
      </c>
      <c r="L63" s="101" t="s">
        <v>199</v>
      </c>
      <c r="M63" s="105" t="s">
        <v>200</v>
      </c>
      <c r="N63" s="115"/>
      <c r="O63" s="115"/>
      <c r="P63" s="115">
        <f t="shared" si="2"/>
        <v>0</v>
      </c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</row>
    <row r="64" spans="1:28" ht="24">
      <c r="A64" s="226">
        <v>40016415</v>
      </c>
      <c r="B64" s="107">
        <v>31</v>
      </c>
      <c r="C64" s="103" t="s">
        <v>30</v>
      </c>
      <c r="D64" s="101">
        <v>0</v>
      </c>
      <c r="E64" s="101" t="s">
        <v>132</v>
      </c>
      <c r="F64" s="108" t="s">
        <v>246</v>
      </c>
      <c r="G64" s="101" t="s">
        <v>99</v>
      </c>
      <c r="H64" s="101" t="s">
        <v>147</v>
      </c>
      <c r="I64" s="101">
        <v>2019</v>
      </c>
      <c r="J64" s="64">
        <v>10369</v>
      </c>
      <c r="K64" s="142">
        <v>683847.28</v>
      </c>
      <c r="L64" s="101" t="s">
        <v>226</v>
      </c>
      <c r="M64" s="105" t="s">
        <v>132</v>
      </c>
      <c r="N64" s="115">
        <v>14000</v>
      </c>
      <c r="O64" s="115">
        <v>52392</v>
      </c>
      <c r="P64" s="115">
        <f t="shared" si="2"/>
        <v>0</v>
      </c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</row>
    <row r="65" spans="1:28" ht="24">
      <c r="A65" s="226">
        <v>30479844</v>
      </c>
      <c r="B65" s="107">
        <v>31</v>
      </c>
      <c r="C65" s="103" t="s">
        <v>30</v>
      </c>
      <c r="D65" s="101">
        <v>0</v>
      </c>
      <c r="E65" s="101" t="s">
        <v>139</v>
      </c>
      <c r="F65" s="108" t="s">
        <v>247</v>
      </c>
      <c r="G65" s="101" t="s">
        <v>100</v>
      </c>
      <c r="H65" s="101" t="s">
        <v>147</v>
      </c>
      <c r="I65" s="101">
        <v>2018</v>
      </c>
      <c r="J65" s="101" t="s">
        <v>248</v>
      </c>
      <c r="K65" s="142">
        <v>24554</v>
      </c>
      <c r="L65" s="101" t="s">
        <v>199</v>
      </c>
      <c r="M65" s="105" t="s">
        <v>200</v>
      </c>
      <c r="N65" s="115"/>
      <c r="O65" s="115"/>
      <c r="P65" s="115">
        <f t="shared" si="2"/>
        <v>0</v>
      </c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</row>
    <row r="66" spans="1:28" ht="24">
      <c r="A66" s="226">
        <v>30176022</v>
      </c>
      <c r="B66" s="107">
        <v>31</v>
      </c>
      <c r="C66" s="103" t="s">
        <v>30</v>
      </c>
      <c r="D66" s="101">
        <v>0</v>
      </c>
      <c r="E66" s="101" t="s">
        <v>132</v>
      </c>
      <c r="F66" s="108" t="s">
        <v>249</v>
      </c>
      <c r="G66" s="101" t="s">
        <v>85</v>
      </c>
      <c r="H66" s="101" t="s">
        <v>147</v>
      </c>
      <c r="I66" s="101">
        <v>2019</v>
      </c>
      <c r="J66" s="101">
        <v>10023</v>
      </c>
      <c r="K66" s="142">
        <v>374541.78899999999</v>
      </c>
      <c r="L66" s="101" t="s">
        <v>173</v>
      </c>
      <c r="M66" s="105" t="s">
        <v>132</v>
      </c>
      <c r="N66" s="115">
        <v>642000</v>
      </c>
      <c r="O66" s="115">
        <v>530120</v>
      </c>
      <c r="P66" s="115">
        <f t="shared" si="2"/>
        <v>254982.486</v>
      </c>
      <c r="Q66" s="115"/>
      <c r="R66" s="115"/>
      <c r="S66" s="115"/>
      <c r="T66" s="115">
        <v>44602.642999999996</v>
      </c>
      <c r="U66" s="115">
        <v>99886.297000000006</v>
      </c>
      <c r="V66" s="115">
        <v>110493.546</v>
      </c>
      <c r="W66" s="115"/>
      <c r="X66" s="115"/>
      <c r="Y66" s="115"/>
      <c r="Z66" s="115"/>
      <c r="AA66" s="115"/>
      <c r="AB66" s="115"/>
    </row>
    <row r="67" spans="1:28" ht="24">
      <c r="A67" s="226">
        <v>30139872</v>
      </c>
      <c r="B67" s="107">
        <v>31</v>
      </c>
      <c r="C67" s="103" t="s">
        <v>30</v>
      </c>
      <c r="D67" s="101">
        <v>0</v>
      </c>
      <c r="E67" s="101" t="s">
        <v>139</v>
      </c>
      <c r="F67" s="108" t="s">
        <v>250</v>
      </c>
      <c r="G67" s="101" t="s">
        <v>100</v>
      </c>
      <c r="H67" s="101" t="s">
        <v>147</v>
      </c>
      <c r="I67" s="101">
        <v>2018</v>
      </c>
      <c r="J67" s="101" t="s">
        <v>198</v>
      </c>
      <c r="K67" s="142">
        <v>23797</v>
      </c>
      <c r="L67" s="101" t="s">
        <v>199</v>
      </c>
      <c r="M67" s="105" t="s">
        <v>200</v>
      </c>
      <c r="N67" s="115"/>
      <c r="O67" s="115"/>
      <c r="P67" s="115">
        <f t="shared" si="2"/>
        <v>0</v>
      </c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</row>
    <row r="68" spans="1:28" ht="24">
      <c r="A68" s="226">
        <v>30149176</v>
      </c>
      <c r="B68" s="107">
        <v>31</v>
      </c>
      <c r="C68" s="103" t="s">
        <v>30</v>
      </c>
      <c r="D68" s="101">
        <v>0</v>
      </c>
      <c r="E68" s="101" t="s">
        <v>132</v>
      </c>
      <c r="F68" s="108" t="s">
        <v>251</v>
      </c>
      <c r="G68" s="101" t="s">
        <v>103</v>
      </c>
      <c r="H68" s="101" t="s">
        <v>144</v>
      </c>
      <c r="I68" s="101">
        <v>2018</v>
      </c>
      <c r="J68" s="101" t="s">
        <v>252</v>
      </c>
      <c r="K68" s="142">
        <v>3412768.6348560001</v>
      </c>
      <c r="L68" s="101" t="s">
        <v>135</v>
      </c>
      <c r="M68" s="105" t="s">
        <v>132</v>
      </c>
      <c r="N68" s="115">
        <v>107000</v>
      </c>
      <c r="O68" s="115">
        <v>67465</v>
      </c>
      <c r="P68" s="115">
        <f t="shared" si="2"/>
        <v>5429.8919999999998</v>
      </c>
      <c r="Q68" s="115"/>
      <c r="R68" s="115"/>
      <c r="S68" s="115">
        <v>5270.7889999999998</v>
      </c>
      <c r="T68" s="115">
        <v>159.10300000000001</v>
      </c>
      <c r="U68" s="115"/>
      <c r="V68" s="115"/>
      <c r="W68" s="115"/>
      <c r="X68" s="115"/>
      <c r="Y68" s="115"/>
      <c r="Z68" s="115"/>
      <c r="AA68" s="115"/>
      <c r="AB68" s="115"/>
    </row>
    <row r="69" spans="1:28" ht="24">
      <c r="A69" s="226">
        <v>30081585</v>
      </c>
      <c r="B69" s="107">
        <v>31</v>
      </c>
      <c r="C69" s="103" t="s">
        <v>30</v>
      </c>
      <c r="D69" s="101">
        <v>0</v>
      </c>
      <c r="E69" s="101" t="s">
        <v>132</v>
      </c>
      <c r="F69" s="108" t="s">
        <v>253</v>
      </c>
      <c r="G69" s="101" t="s">
        <v>92</v>
      </c>
      <c r="H69" s="101" t="s">
        <v>150</v>
      </c>
      <c r="I69" s="101">
        <v>2012</v>
      </c>
      <c r="J69" s="101">
        <v>5685</v>
      </c>
      <c r="K69" s="142">
        <v>1192603.074</v>
      </c>
      <c r="L69" s="101" t="s">
        <v>135</v>
      </c>
      <c r="M69" s="105" t="s">
        <v>132</v>
      </c>
      <c r="N69" s="115">
        <v>79977</v>
      </c>
      <c r="O69" s="115">
        <v>70095</v>
      </c>
      <c r="P69" s="115">
        <f t="shared" si="2"/>
        <v>1224.73</v>
      </c>
      <c r="Q69" s="115"/>
      <c r="R69" s="115"/>
      <c r="S69" s="115">
        <v>1224.73</v>
      </c>
      <c r="T69" s="115"/>
      <c r="U69" s="115"/>
      <c r="V69" s="115"/>
      <c r="W69" s="115"/>
      <c r="X69" s="115"/>
      <c r="Y69" s="115"/>
      <c r="Z69" s="115"/>
      <c r="AA69" s="115"/>
      <c r="AB69" s="115"/>
    </row>
    <row r="70" spans="1:28" ht="24">
      <c r="A70" s="226">
        <v>30085388</v>
      </c>
      <c r="B70" s="107">
        <v>31</v>
      </c>
      <c r="C70" s="103" t="s">
        <v>30</v>
      </c>
      <c r="D70" s="101">
        <v>0</v>
      </c>
      <c r="E70" s="101" t="s">
        <v>132</v>
      </c>
      <c r="F70" s="108" t="s">
        <v>254</v>
      </c>
      <c r="G70" s="101" t="s">
        <v>86</v>
      </c>
      <c r="H70" s="101" t="s">
        <v>255</v>
      </c>
      <c r="I70" s="101">
        <v>2018</v>
      </c>
      <c r="J70" s="101">
        <v>9060</v>
      </c>
      <c r="K70" s="142">
        <v>1461501</v>
      </c>
      <c r="L70" s="101" t="s">
        <v>135</v>
      </c>
      <c r="M70" s="105" t="s">
        <v>132</v>
      </c>
      <c r="N70" s="115">
        <v>101000</v>
      </c>
      <c r="O70" s="115">
        <v>111867</v>
      </c>
      <c r="P70" s="115">
        <f t="shared" si="2"/>
        <v>0</v>
      </c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</row>
    <row r="71" spans="1:28" ht="36">
      <c r="A71" s="226">
        <v>30076274</v>
      </c>
      <c r="B71" s="107">
        <v>31</v>
      </c>
      <c r="C71" s="103" t="s">
        <v>30</v>
      </c>
      <c r="D71" s="101">
        <v>0</v>
      </c>
      <c r="E71" s="101" t="s">
        <v>132</v>
      </c>
      <c r="F71" s="108" t="s">
        <v>256</v>
      </c>
      <c r="G71" s="101" t="s">
        <v>83</v>
      </c>
      <c r="H71" s="101" t="s">
        <v>161</v>
      </c>
      <c r="I71" s="101">
        <v>2014</v>
      </c>
      <c r="J71" s="101" t="s">
        <v>257</v>
      </c>
      <c r="K71" s="142">
        <v>1021396</v>
      </c>
      <c r="L71" s="101" t="s">
        <v>135</v>
      </c>
      <c r="M71" s="105" t="s">
        <v>166</v>
      </c>
      <c r="N71" s="115"/>
      <c r="O71" s="115"/>
      <c r="P71" s="115">
        <f t="shared" si="2"/>
        <v>0</v>
      </c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</row>
    <row r="72" spans="1:28" ht="48">
      <c r="A72" s="226">
        <v>30481521</v>
      </c>
      <c r="B72" s="107">
        <v>31</v>
      </c>
      <c r="C72" s="103" t="s">
        <v>30</v>
      </c>
      <c r="D72" s="107">
        <v>0</v>
      </c>
      <c r="E72" s="101" t="s">
        <v>132</v>
      </c>
      <c r="F72" s="108" t="s">
        <v>258</v>
      </c>
      <c r="G72" s="101" t="s">
        <v>91</v>
      </c>
      <c r="H72" s="101" t="s">
        <v>161</v>
      </c>
      <c r="I72" s="101">
        <v>2022</v>
      </c>
      <c r="J72" s="101">
        <v>12493</v>
      </c>
      <c r="K72" s="146">
        <v>2764448</v>
      </c>
      <c r="L72" s="101" t="s">
        <v>135</v>
      </c>
      <c r="M72" s="105" t="s">
        <v>259</v>
      </c>
      <c r="N72" s="115">
        <v>420000</v>
      </c>
      <c r="O72" s="115">
        <v>28000</v>
      </c>
      <c r="P72" s="115">
        <f t="shared" si="2"/>
        <v>27506.32</v>
      </c>
      <c r="Q72" s="115"/>
      <c r="R72" s="115"/>
      <c r="S72" s="115"/>
      <c r="T72" s="115">
        <v>12225.031000000001</v>
      </c>
      <c r="U72" s="115"/>
      <c r="V72" s="115">
        <v>15281.289000000001</v>
      </c>
      <c r="W72" s="115"/>
      <c r="X72" s="115"/>
      <c r="Y72" s="115"/>
      <c r="Z72" s="115"/>
      <c r="AA72" s="115"/>
      <c r="AB72" s="115"/>
    </row>
    <row r="73" spans="1:28" ht="24">
      <c r="A73" s="226">
        <v>30100146</v>
      </c>
      <c r="B73" s="107">
        <v>33</v>
      </c>
      <c r="C73" s="103" t="s">
        <v>27</v>
      </c>
      <c r="D73" s="101">
        <v>100</v>
      </c>
      <c r="E73" s="101" t="s">
        <v>132</v>
      </c>
      <c r="F73" s="108" t="s">
        <v>260</v>
      </c>
      <c r="G73" s="101" t="s">
        <v>87</v>
      </c>
      <c r="H73" s="101" t="s">
        <v>261</v>
      </c>
      <c r="I73" s="101">
        <v>2018</v>
      </c>
      <c r="J73" s="101">
        <v>9156</v>
      </c>
      <c r="K73" s="142">
        <v>3016924.84</v>
      </c>
      <c r="L73" s="101" t="s">
        <v>223</v>
      </c>
      <c r="M73" s="105" t="s">
        <v>132</v>
      </c>
      <c r="N73" s="115">
        <v>100000</v>
      </c>
      <c r="O73" s="115">
        <v>112152</v>
      </c>
      <c r="P73" s="115">
        <f t="shared" si="2"/>
        <v>0</v>
      </c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</row>
    <row r="74" spans="1:28" ht="24">
      <c r="A74" s="226">
        <v>30100137</v>
      </c>
      <c r="B74" s="107">
        <v>33</v>
      </c>
      <c r="C74" s="103" t="s">
        <v>27</v>
      </c>
      <c r="D74" s="101">
        <v>100</v>
      </c>
      <c r="E74" s="101" t="s">
        <v>132</v>
      </c>
      <c r="F74" s="108" t="s">
        <v>262</v>
      </c>
      <c r="G74" s="101" t="s">
        <v>85</v>
      </c>
      <c r="H74" s="101" t="s">
        <v>263</v>
      </c>
      <c r="I74" s="101">
        <v>2014</v>
      </c>
      <c r="J74" s="101">
        <v>6456</v>
      </c>
      <c r="K74" s="142">
        <v>8420785.6630000006</v>
      </c>
      <c r="L74" s="101" t="s">
        <v>236</v>
      </c>
      <c r="M74" s="105" t="s">
        <v>132</v>
      </c>
      <c r="N74" s="115">
        <v>29049</v>
      </c>
      <c r="O74" s="115">
        <v>31322</v>
      </c>
      <c r="P74" s="115">
        <f t="shared" si="2"/>
        <v>0</v>
      </c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</row>
    <row r="75" spans="1:28" ht="24">
      <c r="A75" s="226">
        <v>30100128</v>
      </c>
      <c r="B75" s="107">
        <v>33</v>
      </c>
      <c r="C75" s="103" t="s">
        <v>27</v>
      </c>
      <c r="D75" s="101">
        <v>100</v>
      </c>
      <c r="E75" s="101" t="s">
        <v>132</v>
      </c>
      <c r="F75" s="108" t="s">
        <v>264</v>
      </c>
      <c r="G75" s="101" t="s">
        <v>85</v>
      </c>
      <c r="H75" s="101" t="s">
        <v>185</v>
      </c>
      <c r="I75" s="101">
        <v>2018</v>
      </c>
      <c r="J75" s="101" t="s">
        <v>265</v>
      </c>
      <c r="K75" s="142">
        <v>3958400.9389999998</v>
      </c>
      <c r="L75" s="101" t="s">
        <v>236</v>
      </c>
      <c r="M75" s="105" t="s">
        <v>132</v>
      </c>
      <c r="N75" s="115">
        <v>1003774</v>
      </c>
      <c r="O75" s="115">
        <v>1021774</v>
      </c>
      <c r="P75" s="115">
        <f t="shared" si="2"/>
        <v>638789.24600000004</v>
      </c>
      <c r="Q75" s="115"/>
      <c r="R75" s="277">
        <v>121757.84299999999</v>
      </c>
      <c r="S75" s="115">
        <v>6000</v>
      </c>
      <c r="T75" s="115">
        <v>221112.054</v>
      </c>
      <c r="U75" s="115">
        <v>115062.27099999999</v>
      </c>
      <c r="V75" s="115">
        <v>174857.07800000001</v>
      </c>
      <c r="W75" s="115"/>
      <c r="X75" s="115"/>
      <c r="Y75" s="115"/>
      <c r="Z75" s="285"/>
      <c r="AA75" s="115"/>
      <c r="AB75" s="277"/>
    </row>
    <row r="76" spans="1:28" ht="24">
      <c r="A76" s="226">
        <v>30124552</v>
      </c>
      <c r="B76" s="107">
        <v>33</v>
      </c>
      <c r="C76" s="103" t="s">
        <v>27</v>
      </c>
      <c r="D76" s="101">
        <v>100</v>
      </c>
      <c r="E76" s="101" t="s">
        <v>132</v>
      </c>
      <c r="F76" s="108" t="s">
        <v>266</v>
      </c>
      <c r="G76" s="101" t="s">
        <v>91</v>
      </c>
      <c r="H76" s="101" t="s">
        <v>185</v>
      </c>
      <c r="I76" s="101">
        <v>2018</v>
      </c>
      <c r="J76" s="101">
        <v>9636</v>
      </c>
      <c r="K76" s="142">
        <v>1380241.557</v>
      </c>
      <c r="L76" s="101" t="s">
        <v>138</v>
      </c>
      <c r="M76" s="105" t="s">
        <v>132</v>
      </c>
      <c r="N76" s="115">
        <v>562927</v>
      </c>
      <c r="O76" s="115">
        <v>491838</v>
      </c>
      <c r="P76" s="115">
        <f t="shared" si="2"/>
        <v>0</v>
      </c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</row>
    <row r="77" spans="1:28" ht="36">
      <c r="A77" s="264">
        <v>30483991</v>
      </c>
      <c r="B77" s="107">
        <v>33</v>
      </c>
      <c r="C77" s="103" t="s">
        <v>27</v>
      </c>
      <c r="D77" s="101">
        <v>100</v>
      </c>
      <c r="E77" s="101" t="s">
        <v>132</v>
      </c>
      <c r="F77" s="108" t="s">
        <v>267</v>
      </c>
      <c r="G77" s="117" t="s">
        <v>93</v>
      </c>
      <c r="H77" s="101" t="s">
        <v>185</v>
      </c>
      <c r="I77" s="101">
        <v>2023</v>
      </c>
      <c r="J77" s="101">
        <v>13597</v>
      </c>
      <c r="K77" s="146">
        <v>8262760</v>
      </c>
      <c r="L77" s="101" t="s">
        <v>162</v>
      </c>
      <c r="M77" s="105" t="s">
        <v>268</v>
      </c>
      <c r="N77" s="115">
        <v>100000</v>
      </c>
      <c r="O77" s="115">
        <v>50000</v>
      </c>
      <c r="P77" s="115">
        <f t="shared" si="2"/>
        <v>0</v>
      </c>
      <c r="Q77" s="115"/>
      <c r="R77" s="115"/>
      <c r="S77" s="115"/>
      <c r="T77" s="115"/>
      <c r="U77" s="115"/>
      <c r="V77" s="115"/>
      <c r="W77" s="115"/>
      <c r="X77" s="115"/>
      <c r="Y77" s="115"/>
      <c r="Z77" s="115"/>
      <c r="AA77" s="115"/>
      <c r="AB77" s="115"/>
    </row>
    <row r="78" spans="1:28" ht="24">
      <c r="A78" s="226">
        <v>30124512</v>
      </c>
      <c r="B78" s="107">
        <v>33</v>
      </c>
      <c r="C78" s="103" t="s">
        <v>27</v>
      </c>
      <c r="D78" s="101">
        <v>100</v>
      </c>
      <c r="E78" s="101" t="s">
        <v>132</v>
      </c>
      <c r="F78" s="108" t="s">
        <v>269</v>
      </c>
      <c r="G78" s="101" t="s">
        <v>91</v>
      </c>
      <c r="H78" s="101" t="s">
        <v>263</v>
      </c>
      <c r="I78" s="101">
        <v>2013</v>
      </c>
      <c r="J78" s="101">
        <v>6198</v>
      </c>
      <c r="K78" s="142">
        <v>2029586</v>
      </c>
      <c r="L78" s="101" t="s">
        <v>138</v>
      </c>
      <c r="M78" s="105" t="s">
        <v>177</v>
      </c>
      <c r="N78" s="115">
        <v>99999</v>
      </c>
      <c r="O78" s="115">
        <v>50000</v>
      </c>
      <c r="P78" s="115">
        <f t="shared" si="2"/>
        <v>0</v>
      </c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</row>
    <row r="79" spans="1:28" ht="36">
      <c r="A79" s="264">
        <v>30098451</v>
      </c>
      <c r="B79" s="107">
        <v>33</v>
      </c>
      <c r="C79" s="103" t="s">
        <v>27</v>
      </c>
      <c r="D79" s="101">
        <v>100</v>
      </c>
      <c r="E79" s="101" t="s">
        <v>132</v>
      </c>
      <c r="F79" s="108" t="s">
        <v>270</v>
      </c>
      <c r="G79" s="117" t="s">
        <v>100</v>
      </c>
      <c r="H79" s="101" t="s">
        <v>185</v>
      </c>
      <c r="I79" s="101">
        <v>2023</v>
      </c>
      <c r="J79" s="101">
        <v>13360</v>
      </c>
      <c r="K79" s="146">
        <v>6356875</v>
      </c>
      <c r="L79" s="101" t="s">
        <v>199</v>
      </c>
      <c r="M79" s="105" t="s">
        <v>268</v>
      </c>
      <c r="N79" s="115">
        <v>100000</v>
      </c>
      <c r="O79" s="115">
        <v>50000</v>
      </c>
      <c r="P79" s="115">
        <f t="shared" si="2"/>
        <v>0</v>
      </c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</row>
    <row r="80" spans="1:28" ht="24">
      <c r="A80" s="226">
        <v>30078379</v>
      </c>
      <c r="B80" s="107">
        <v>33</v>
      </c>
      <c r="C80" s="103" t="s">
        <v>27</v>
      </c>
      <c r="D80" s="101">
        <v>100</v>
      </c>
      <c r="E80" s="101" t="s">
        <v>132</v>
      </c>
      <c r="F80" s="108" t="s">
        <v>271</v>
      </c>
      <c r="G80" s="101" t="s">
        <v>86</v>
      </c>
      <c r="H80" s="101" t="s">
        <v>261</v>
      </c>
      <c r="I80" s="101">
        <v>2013</v>
      </c>
      <c r="J80" s="101">
        <v>6198</v>
      </c>
      <c r="K80" s="104">
        <v>5489030</v>
      </c>
      <c r="L80" s="101" t="s">
        <v>195</v>
      </c>
      <c r="M80" s="105" t="s">
        <v>177</v>
      </c>
      <c r="N80" s="115"/>
      <c r="O80" s="115"/>
      <c r="P80" s="115">
        <f t="shared" si="2"/>
        <v>0</v>
      </c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</row>
    <row r="81" spans="1:28" ht="36">
      <c r="A81" s="226">
        <v>40021790</v>
      </c>
      <c r="B81" s="107">
        <v>33</v>
      </c>
      <c r="C81" s="103" t="s">
        <v>27</v>
      </c>
      <c r="D81" s="101">
        <v>100</v>
      </c>
      <c r="E81" s="101" t="s">
        <v>132</v>
      </c>
      <c r="F81" s="108" t="s">
        <v>272</v>
      </c>
      <c r="G81" s="101" t="s">
        <v>98</v>
      </c>
      <c r="H81" s="101" t="s">
        <v>185</v>
      </c>
      <c r="I81" s="101">
        <v>2021</v>
      </c>
      <c r="J81" s="101">
        <v>11216</v>
      </c>
      <c r="K81" s="142">
        <v>4444104</v>
      </c>
      <c r="L81" s="270" t="s">
        <v>151</v>
      </c>
      <c r="M81" s="105" t="s">
        <v>132</v>
      </c>
      <c r="N81" s="115">
        <v>1904251</v>
      </c>
      <c r="O81" s="115">
        <v>2146909</v>
      </c>
      <c r="P81" s="115">
        <f t="shared" si="2"/>
        <v>1649408.148</v>
      </c>
      <c r="Q81" s="115"/>
      <c r="R81" s="277">
        <v>193362.022</v>
      </c>
      <c r="S81" s="115">
        <v>549736.97400000005</v>
      </c>
      <c r="T81" s="115">
        <v>309766.95299999998</v>
      </c>
      <c r="U81" s="115">
        <v>342780.29300000001</v>
      </c>
      <c r="V81" s="115">
        <v>253761.90599999999</v>
      </c>
      <c r="W81" s="115"/>
      <c r="X81" s="115"/>
      <c r="Y81" s="115"/>
      <c r="Z81" s="285"/>
      <c r="AA81" s="115"/>
      <c r="AB81" s="277"/>
    </row>
    <row r="82" spans="1:28" ht="36">
      <c r="A82" s="226">
        <v>30482920</v>
      </c>
      <c r="B82" s="107">
        <v>29</v>
      </c>
      <c r="C82" s="103" t="s">
        <v>27</v>
      </c>
      <c r="D82" s="103">
        <v>108</v>
      </c>
      <c r="E82" s="101" t="s">
        <v>132</v>
      </c>
      <c r="F82" s="108" t="s">
        <v>273</v>
      </c>
      <c r="G82" s="101" t="s">
        <v>84</v>
      </c>
      <c r="H82" s="101" t="s">
        <v>134</v>
      </c>
      <c r="I82" s="101">
        <v>2018</v>
      </c>
      <c r="J82" s="101">
        <v>9636</v>
      </c>
      <c r="K82" s="142">
        <v>477891</v>
      </c>
      <c r="L82" s="101" t="s">
        <v>157</v>
      </c>
      <c r="M82" s="105" t="s">
        <v>152</v>
      </c>
      <c r="N82" s="115">
        <v>299664.71999999997</v>
      </c>
      <c r="O82" s="115">
        <v>1000</v>
      </c>
      <c r="P82" s="115">
        <f t="shared" si="2"/>
        <v>0</v>
      </c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15"/>
      <c r="AB82" s="115"/>
    </row>
    <row r="83" spans="1:28" ht="24">
      <c r="A83" s="226">
        <v>30483369</v>
      </c>
      <c r="B83" s="64">
        <v>29</v>
      </c>
      <c r="C83" s="103" t="s">
        <v>27</v>
      </c>
      <c r="D83" s="103">
        <v>117</v>
      </c>
      <c r="E83" s="101" t="s">
        <v>132</v>
      </c>
      <c r="F83" s="108" t="s">
        <v>274</v>
      </c>
      <c r="G83" s="101" t="s">
        <v>91</v>
      </c>
      <c r="H83" s="101" t="s">
        <v>134</v>
      </c>
      <c r="I83" s="101">
        <v>2018</v>
      </c>
      <c r="J83" s="101">
        <v>9636</v>
      </c>
      <c r="K83" s="142">
        <v>457458</v>
      </c>
      <c r="L83" s="101" t="s">
        <v>138</v>
      </c>
      <c r="M83" s="105" t="s">
        <v>132</v>
      </c>
      <c r="N83" s="115">
        <v>524512.71400000004</v>
      </c>
      <c r="O83" s="115">
        <v>524512.71400000004</v>
      </c>
      <c r="P83" s="115">
        <f t="shared" si="2"/>
        <v>524512.71400000004</v>
      </c>
      <c r="Q83" s="115"/>
      <c r="R83" s="115"/>
      <c r="S83" s="115"/>
      <c r="T83" s="115">
        <v>524512.71400000004</v>
      </c>
      <c r="U83" s="115"/>
      <c r="V83" s="115"/>
      <c r="W83" s="115"/>
      <c r="X83" s="115"/>
      <c r="Y83" s="115"/>
      <c r="Z83" s="115"/>
      <c r="AA83" s="115"/>
      <c r="AB83" s="115"/>
    </row>
    <row r="84" spans="1:28" ht="36">
      <c r="A84" s="226">
        <v>40010138</v>
      </c>
      <c r="B84" s="107">
        <v>29</v>
      </c>
      <c r="C84" s="103" t="s">
        <v>27</v>
      </c>
      <c r="D84" s="101">
        <v>136</v>
      </c>
      <c r="E84" s="101" t="s">
        <v>132</v>
      </c>
      <c r="F84" s="108" t="s">
        <v>275</v>
      </c>
      <c r="G84" s="101" t="s">
        <v>91</v>
      </c>
      <c r="H84" s="101" t="s">
        <v>276</v>
      </c>
      <c r="I84" s="101">
        <v>2021</v>
      </c>
      <c r="J84" s="101">
        <v>11619</v>
      </c>
      <c r="K84" s="142">
        <v>148895</v>
      </c>
      <c r="L84" s="270" t="s">
        <v>138</v>
      </c>
      <c r="M84" s="105" t="s">
        <v>166</v>
      </c>
      <c r="N84" s="115"/>
      <c r="O84" s="115"/>
      <c r="P84" s="115">
        <f t="shared" si="2"/>
        <v>0</v>
      </c>
      <c r="Q84" s="115"/>
      <c r="R84" s="115"/>
      <c r="S84" s="115"/>
      <c r="T84" s="115"/>
      <c r="U84" s="115"/>
      <c r="V84" s="115"/>
      <c r="W84" s="115"/>
      <c r="X84" s="115"/>
      <c r="Y84" s="115"/>
      <c r="Z84" s="115"/>
      <c r="AA84" s="115"/>
      <c r="AB84" s="115"/>
    </row>
    <row r="85" spans="1:28" ht="36">
      <c r="A85" s="226">
        <v>40021574</v>
      </c>
      <c r="B85" s="107">
        <v>29</v>
      </c>
      <c r="C85" s="103" t="s">
        <v>27</v>
      </c>
      <c r="D85" s="101">
        <v>137</v>
      </c>
      <c r="E85" s="101" t="s">
        <v>132</v>
      </c>
      <c r="F85" s="108" t="s">
        <v>277</v>
      </c>
      <c r="G85" s="101" t="s">
        <v>82</v>
      </c>
      <c r="H85" s="101" t="s">
        <v>276</v>
      </c>
      <c r="I85" s="101">
        <v>2021</v>
      </c>
      <c r="J85" s="101">
        <v>11619</v>
      </c>
      <c r="K85" s="142">
        <v>204199</v>
      </c>
      <c r="L85" s="270" t="s">
        <v>142</v>
      </c>
      <c r="M85" s="105" t="s">
        <v>152</v>
      </c>
      <c r="N85" s="115">
        <v>204199</v>
      </c>
      <c r="O85" s="115">
        <v>1000</v>
      </c>
      <c r="P85" s="115">
        <f t="shared" si="2"/>
        <v>0</v>
      </c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</row>
    <row r="86" spans="1:28" ht="36">
      <c r="A86" s="226">
        <v>40020182</v>
      </c>
      <c r="B86" s="101">
        <v>29</v>
      </c>
      <c r="C86" s="103" t="s">
        <v>27</v>
      </c>
      <c r="D86" s="101">
        <v>138</v>
      </c>
      <c r="E86" s="101" t="s">
        <v>132</v>
      </c>
      <c r="F86" s="108" t="s">
        <v>278</v>
      </c>
      <c r="G86" s="101" t="s">
        <v>84</v>
      </c>
      <c r="H86" s="101" t="s">
        <v>147</v>
      </c>
      <c r="I86" s="101">
        <v>2020</v>
      </c>
      <c r="J86" s="101">
        <v>10686</v>
      </c>
      <c r="K86" s="142">
        <v>146227</v>
      </c>
      <c r="L86" s="101" t="s">
        <v>173</v>
      </c>
      <c r="M86" s="105" t="s">
        <v>145</v>
      </c>
      <c r="N86" s="115">
        <v>112539.48999999999</v>
      </c>
      <c r="O86" s="115">
        <v>98347</v>
      </c>
      <c r="P86" s="115">
        <f t="shared" si="2"/>
        <v>98346.373999999996</v>
      </c>
      <c r="Q86" s="115"/>
      <c r="R86" s="115"/>
      <c r="S86" s="115"/>
      <c r="T86" s="115"/>
      <c r="U86" s="115">
        <v>98346.373999999996</v>
      </c>
      <c r="V86" s="115"/>
      <c r="W86" s="115"/>
      <c r="X86" s="115"/>
      <c r="Y86" s="115"/>
      <c r="Z86" s="115"/>
      <c r="AA86" s="115"/>
      <c r="AB86" s="115"/>
    </row>
    <row r="87" spans="1:28" ht="36">
      <c r="A87" s="226">
        <v>40016076</v>
      </c>
      <c r="B87" s="101">
        <v>29</v>
      </c>
      <c r="C87" s="103" t="s">
        <v>27</v>
      </c>
      <c r="D87" s="101">
        <v>139</v>
      </c>
      <c r="E87" s="101" t="s">
        <v>132</v>
      </c>
      <c r="F87" s="108" t="s">
        <v>279</v>
      </c>
      <c r="G87" s="101" t="s">
        <v>100</v>
      </c>
      <c r="H87" s="101" t="s">
        <v>147</v>
      </c>
      <c r="I87" s="101">
        <v>2019</v>
      </c>
      <c r="J87" s="101">
        <v>10341</v>
      </c>
      <c r="K87" s="142">
        <v>159937</v>
      </c>
      <c r="L87" s="101" t="s">
        <v>173</v>
      </c>
      <c r="M87" s="105" t="s">
        <v>145</v>
      </c>
      <c r="N87" s="115">
        <v>196692.74799999999</v>
      </c>
      <c r="O87" s="115">
        <v>196693</v>
      </c>
      <c r="P87" s="115">
        <f t="shared" si="2"/>
        <v>196692.74600000001</v>
      </c>
      <c r="Q87" s="115"/>
      <c r="R87" s="115"/>
      <c r="S87" s="115"/>
      <c r="T87" s="115"/>
      <c r="U87" s="115">
        <v>196692.74600000001</v>
      </c>
      <c r="V87" s="115"/>
      <c r="W87" s="115"/>
      <c r="X87" s="115"/>
      <c r="Y87" s="115"/>
      <c r="Z87" s="115"/>
      <c r="AA87" s="115"/>
      <c r="AB87" s="115"/>
    </row>
    <row r="88" spans="1:28" ht="36">
      <c r="A88" s="226">
        <v>40017780</v>
      </c>
      <c r="B88" s="101">
        <v>29</v>
      </c>
      <c r="C88" s="103" t="s">
        <v>27</v>
      </c>
      <c r="D88" s="101">
        <v>140</v>
      </c>
      <c r="E88" s="101" t="s">
        <v>132</v>
      </c>
      <c r="F88" s="108" t="s">
        <v>280</v>
      </c>
      <c r="G88" s="101" t="s">
        <v>93</v>
      </c>
      <c r="H88" s="101" t="s">
        <v>147</v>
      </c>
      <c r="I88" s="101">
        <v>2020</v>
      </c>
      <c r="J88" s="101">
        <v>10686</v>
      </c>
      <c r="K88" s="142">
        <v>313017</v>
      </c>
      <c r="L88" s="101" t="s">
        <v>173</v>
      </c>
      <c r="M88" s="105" t="s">
        <v>145</v>
      </c>
      <c r="N88" s="115">
        <v>134696.1</v>
      </c>
      <c r="O88" s="115">
        <v>331390</v>
      </c>
      <c r="P88" s="115">
        <f t="shared" si="2"/>
        <v>331388.84600000002</v>
      </c>
      <c r="Q88" s="115"/>
      <c r="R88" s="115"/>
      <c r="S88" s="115"/>
      <c r="T88" s="115"/>
      <c r="U88" s="115">
        <v>331388.84600000002</v>
      </c>
      <c r="V88" s="115"/>
      <c r="W88" s="115"/>
      <c r="X88" s="115"/>
      <c r="Y88" s="115"/>
      <c r="Z88" s="115"/>
      <c r="AA88" s="115"/>
      <c r="AB88" s="115"/>
    </row>
    <row r="89" spans="1:28" ht="36">
      <c r="A89" s="226">
        <v>40026732</v>
      </c>
      <c r="B89" s="101">
        <v>29</v>
      </c>
      <c r="C89" s="103" t="s">
        <v>27</v>
      </c>
      <c r="D89" s="101">
        <v>141</v>
      </c>
      <c r="E89" s="101" t="s">
        <v>132</v>
      </c>
      <c r="F89" s="108" t="s">
        <v>281</v>
      </c>
      <c r="G89" s="101" t="s">
        <v>92</v>
      </c>
      <c r="H89" s="101" t="s">
        <v>147</v>
      </c>
      <c r="I89" s="101">
        <v>2022</v>
      </c>
      <c r="J89" s="101">
        <v>11932</v>
      </c>
      <c r="K89" s="142">
        <v>361201</v>
      </c>
      <c r="L89" s="101" t="s">
        <v>173</v>
      </c>
      <c r="M89" s="105" t="s">
        <v>145</v>
      </c>
      <c r="N89" s="115">
        <v>269392.2</v>
      </c>
      <c r="O89" s="115">
        <v>269393</v>
      </c>
      <c r="P89" s="115">
        <f t="shared" si="2"/>
        <v>269392.2</v>
      </c>
      <c r="Q89" s="115"/>
      <c r="R89" s="115"/>
      <c r="S89" s="115"/>
      <c r="T89" s="115"/>
      <c r="U89" s="115">
        <v>269392.2</v>
      </c>
      <c r="V89" s="115"/>
      <c r="W89" s="115"/>
      <c r="X89" s="115"/>
      <c r="Y89" s="115"/>
      <c r="Z89" s="115"/>
      <c r="AA89" s="115"/>
      <c r="AB89" s="115"/>
    </row>
    <row r="90" spans="1:28" ht="36">
      <c r="A90" s="226">
        <v>40026735</v>
      </c>
      <c r="B90" s="101">
        <v>29</v>
      </c>
      <c r="C90" s="103" t="s">
        <v>27</v>
      </c>
      <c r="D90" s="101">
        <v>142</v>
      </c>
      <c r="E90" s="101" t="s">
        <v>132</v>
      </c>
      <c r="F90" s="108" t="s">
        <v>282</v>
      </c>
      <c r="G90" s="101" t="s">
        <v>99</v>
      </c>
      <c r="H90" s="101" t="s">
        <v>147</v>
      </c>
      <c r="I90" s="101">
        <v>2022</v>
      </c>
      <c r="J90" s="101">
        <v>11932</v>
      </c>
      <c r="K90" s="142">
        <v>202674</v>
      </c>
      <c r="L90" s="101" t="s">
        <v>173</v>
      </c>
      <c r="M90" s="105" t="s">
        <v>145</v>
      </c>
      <c r="N90" s="115">
        <v>196692.74799999999</v>
      </c>
      <c r="O90" s="115">
        <v>196693</v>
      </c>
      <c r="P90" s="115">
        <f t="shared" si="2"/>
        <v>196692.74600000001</v>
      </c>
      <c r="Q90" s="115"/>
      <c r="R90" s="115"/>
      <c r="S90" s="115"/>
      <c r="T90" s="115"/>
      <c r="U90" s="115">
        <v>196692.74600000001</v>
      </c>
      <c r="V90" s="115"/>
      <c r="W90" s="115"/>
      <c r="X90" s="115"/>
      <c r="Y90" s="115"/>
      <c r="Z90" s="115"/>
      <c r="AA90" s="115"/>
      <c r="AB90" s="115"/>
    </row>
    <row r="91" spans="1:28" ht="24">
      <c r="A91" s="226">
        <v>40015246</v>
      </c>
      <c r="B91" s="107">
        <v>29</v>
      </c>
      <c r="C91" s="103" t="s">
        <v>27</v>
      </c>
      <c r="D91" s="107">
        <v>146</v>
      </c>
      <c r="E91" s="101" t="s">
        <v>132</v>
      </c>
      <c r="F91" s="108" t="s">
        <v>283</v>
      </c>
      <c r="G91" s="101" t="s">
        <v>94</v>
      </c>
      <c r="H91" s="101" t="s">
        <v>134</v>
      </c>
      <c r="I91" s="101">
        <v>2020</v>
      </c>
      <c r="J91" s="101">
        <v>10766</v>
      </c>
      <c r="K91" s="142">
        <v>150535</v>
      </c>
      <c r="L91" s="236" t="s">
        <v>220</v>
      </c>
      <c r="M91" s="105" t="s">
        <v>166</v>
      </c>
      <c r="N91" s="115"/>
      <c r="O91" s="115"/>
      <c r="P91" s="115">
        <f t="shared" si="2"/>
        <v>0</v>
      </c>
      <c r="Q91" s="115"/>
      <c r="R91" s="115"/>
      <c r="S91" s="115"/>
      <c r="T91" s="115"/>
      <c r="U91" s="115"/>
      <c r="V91" s="115"/>
      <c r="W91" s="115"/>
      <c r="X91" s="115"/>
      <c r="Y91" s="115"/>
      <c r="Z91" s="115"/>
      <c r="AA91" s="115"/>
      <c r="AB91" s="115"/>
    </row>
    <row r="92" spans="1:28" ht="48">
      <c r="A92" s="226">
        <v>40045071</v>
      </c>
      <c r="B92" s="107">
        <v>29</v>
      </c>
      <c r="C92" s="103" t="s">
        <v>27</v>
      </c>
      <c r="D92" s="101">
        <v>150</v>
      </c>
      <c r="E92" s="101" t="s">
        <v>132</v>
      </c>
      <c r="F92" s="108" t="s">
        <v>284</v>
      </c>
      <c r="G92" s="101" t="s">
        <v>97</v>
      </c>
      <c r="H92" s="101" t="s">
        <v>134</v>
      </c>
      <c r="I92" s="101">
        <v>2022</v>
      </c>
      <c r="J92" s="101">
        <v>12493</v>
      </c>
      <c r="K92" s="142">
        <v>126441</v>
      </c>
      <c r="L92" s="101" t="s">
        <v>180</v>
      </c>
      <c r="M92" s="105" t="s">
        <v>192</v>
      </c>
      <c r="N92" s="115">
        <v>1000</v>
      </c>
      <c r="O92" s="115">
        <v>1000</v>
      </c>
      <c r="P92" s="115">
        <f t="shared" si="2"/>
        <v>0</v>
      </c>
      <c r="Q92" s="115"/>
      <c r="R92" s="115"/>
      <c r="S92" s="115"/>
      <c r="T92" s="115"/>
      <c r="U92" s="115"/>
      <c r="V92" s="115"/>
      <c r="W92" s="115"/>
      <c r="X92" s="115"/>
      <c r="Y92" s="115"/>
      <c r="Z92" s="115"/>
      <c r="AA92" s="115"/>
      <c r="AB92" s="115"/>
    </row>
    <row r="93" spans="1:28" ht="24">
      <c r="A93" s="226">
        <v>40045197</v>
      </c>
      <c r="B93" s="107">
        <v>29</v>
      </c>
      <c r="C93" s="103" t="s">
        <v>27</v>
      </c>
      <c r="D93" s="101">
        <v>151</v>
      </c>
      <c r="E93" s="101" t="s">
        <v>132</v>
      </c>
      <c r="F93" s="108" t="s">
        <v>285</v>
      </c>
      <c r="G93" s="101" t="s">
        <v>94</v>
      </c>
      <c r="H93" s="101" t="s">
        <v>134</v>
      </c>
      <c r="I93" s="101">
        <v>2022</v>
      </c>
      <c r="J93" s="101">
        <v>12493</v>
      </c>
      <c r="K93" s="142">
        <v>167554</v>
      </c>
      <c r="L93" s="101" t="s">
        <v>180</v>
      </c>
      <c r="M93" s="105" t="s">
        <v>166</v>
      </c>
      <c r="N93" s="115"/>
      <c r="O93" s="115"/>
      <c r="P93" s="115">
        <f t="shared" si="2"/>
        <v>0</v>
      </c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</row>
    <row r="94" spans="1:28" ht="24">
      <c r="A94" s="226">
        <v>40009553</v>
      </c>
      <c r="B94" s="107">
        <v>29</v>
      </c>
      <c r="C94" s="103" t="s">
        <v>27</v>
      </c>
      <c r="D94" s="101">
        <v>152</v>
      </c>
      <c r="E94" s="101" t="s">
        <v>132</v>
      </c>
      <c r="F94" s="108" t="s">
        <v>286</v>
      </c>
      <c r="G94" s="101" t="s">
        <v>87</v>
      </c>
      <c r="H94" s="101" t="s">
        <v>134</v>
      </c>
      <c r="I94" s="101">
        <v>2022</v>
      </c>
      <c r="J94" s="101">
        <v>12493</v>
      </c>
      <c r="K94" s="142">
        <v>597049</v>
      </c>
      <c r="L94" s="101" t="s">
        <v>223</v>
      </c>
      <c r="M94" s="105" t="s">
        <v>152</v>
      </c>
      <c r="N94" s="115">
        <v>572059</v>
      </c>
      <c r="O94" s="115">
        <v>1000</v>
      </c>
      <c r="P94" s="115">
        <f t="shared" si="2"/>
        <v>0</v>
      </c>
      <c r="Q94" s="115"/>
      <c r="R94" s="115"/>
      <c r="S94" s="115"/>
      <c r="T94" s="115"/>
      <c r="U94" s="115"/>
      <c r="V94" s="115"/>
      <c r="W94" s="115"/>
      <c r="X94" s="115"/>
      <c r="Y94" s="115"/>
      <c r="Z94" s="115"/>
      <c r="AA94" s="115"/>
      <c r="AB94" s="115"/>
    </row>
    <row r="95" spans="1:28" ht="24">
      <c r="A95" s="226">
        <v>40041244</v>
      </c>
      <c r="B95" s="107">
        <v>29</v>
      </c>
      <c r="C95" s="103" t="s">
        <v>27</v>
      </c>
      <c r="D95" s="101">
        <v>153</v>
      </c>
      <c r="E95" s="101" t="s">
        <v>132</v>
      </c>
      <c r="F95" s="108" t="s">
        <v>287</v>
      </c>
      <c r="G95" s="101" t="s">
        <v>99</v>
      </c>
      <c r="H95" s="101" t="s">
        <v>134</v>
      </c>
      <c r="I95" s="101">
        <v>2022</v>
      </c>
      <c r="J95" s="101">
        <v>12493</v>
      </c>
      <c r="K95" s="142">
        <v>244435</v>
      </c>
      <c r="L95" s="101" t="s">
        <v>226</v>
      </c>
      <c r="M95" s="105" t="s">
        <v>166</v>
      </c>
      <c r="N95" s="115"/>
      <c r="O95" s="115"/>
      <c r="P95" s="115">
        <f t="shared" si="2"/>
        <v>0</v>
      </c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</row>
    <row r="96" spans="1:28" ht="24">
      <c r="A96" s="226">
        <v>40044384</v>
      </c>
      <c r="B96" s="107">
        <v>29</v>
      </c>
      <c r="C96" s="103" t="s">
        <v>27</v>
      </c>
      <c r="D96" s="101">
        <v>155</v>
      </c>
      <c r="E96" s="101" t="s">
        <v>132</v>
      </c>
      <c r="F96" s="108" t="s">
        <v>288</v>
      </c>
      <c r="G96" s="101" t="s">
        <v>94</v>
      </c>
      <c r="H96" s="101" t="s">
        <v>134</v>
      </c>
      <c r="I96" s="101">
        <v>2022</v>
      </c>
      <c r="J96" s="101">
        <v>12493</v>
      </c>
      <c r="K96" s="142">
        <v>342601</v>
      </c>
      <c r="L96" s="101" t="s">
        <v>220</v>
      </c>
      <c r="M96" s="105" t="s">
        <v>166</v>
      </c>
      <c r="N96" s="115"/>
      <c r="O96" s="219"/>
      <c r="P96" s="115">
        <f t="shared" si="2"/>
        <v>0</v>
      </c>
      <c r="Q96" s="115"/>
      <c r="R96" s="115"/>
      <c r="S96" s="115"/>
      <c r="T96" s="115"/>
      <c r="U96" s="115"/>
      <c r="V96" s="115"/>
      <c r="W96" s="115"/>
      <c r="X96" s="115"/>
      <c r="Y96" s="115"/>
      <c r="Z96" s="115"/>
      <c r="AA96" s="115"/>
      <c r="AB96" s="115"/>
    </row>
    <row r="97" spans="1:34" ht="24">
      <c r="A97" s="226">
        <v>40038920</v>
      </c>
      <c r="B97" s="107">
        <v>29</v>
      </c>
      <c r="C97" s="103" t="s">
        <v>27</v>
      </c>
      <c r="D97" s="101">
        <v>156</v>
      </c>
      <c r="E97" s="101" t="s">
        <v>132</v>
      </c>
      <c r="F97" s="108" t="s">
        <v>289</v>
      </c>
      <c r="G97" s="101" t="s">
        <v>91</v>
      </c>
      <c r="H97" s="101" t="s">
        <v>147</v>
      </c>
      <c r="I97" s="101">
        <v>2022</v>
      </c>
      <c r="J97" s="101">
        <v>12493</v>
      </c>
      <c r="K97" s="142">
        <v>474823</v>
      </c>
      <c r="L97" s="101" t="s">
        <v>173</v>
      </c>
      <c r="M97" s="105" t="s">
        <v>166</v>
      </c>
      <c r="N97" s="115"/>
      <c r="O97" s="219"/>
      <c r="P97" s="115">
        <f t="shared" si="2"/>
        <v>0</v>
      </c>
      <c r="Q97" s="115"/>
      <c r="R97" s="115"/>
      <c r="S97" s="115"/>
      <c r="T97" s="115"/>
      <c r="U97" s="115"/>
      <c r="V97" s="115"/>
      <c r="W97" s="115"/>
      <c r="X97" s="115"/>
      <c r="Y97" s="115"/>
      <c r="Z97" s="115"/>
      <c r="AA97" s="115"/>
      <c r="AB97" s="115"/>
    </row>
    <row r="98" spans="1:34" ht="24">
      <c r="A98" s="226">
        <v>40021792</v>
      </c>
      <c r="B98" s="107">
        <v>29</v>
      </c>
      <c r="C98" s="103" t="s">
        <v>27</v>
      </c>
      <c r="D98" s="101">
        <v>157</v>
      </c>
      <c r="E98" s="101" t="s">
        <v>132</v>
      </c>
      <c r="F98" s="108" t="s">
        <v>290</v>
      </c>
      <c r="G98" s="101" t="s">
        <v>83</v>
      </c>
      <c r="H98" s="101" t="s">
        <v>134</v>
      </c>
      <c r="I98" s="101">
        <v>2022</v>
      </c>
      <c r="J98" s="101">
        <v>12542</v>
      </c>
      <c r="K98" s="142">
        <v>402044</v>
      </c>
      <c r="L98" s="101" t="s">
        <v>173</v>
      </c>
      <c r="M98" s="105" t="s">
        <v>166</v>
      </c>
      <c r="N98" s="115"/>
      <c r="O98" s="115"/>
      <c r="P98" s="115">
        <f t="shared" si="2"/>
        <v>0</v>
      </c>
      <c r="Q98" s="115"/>
      <c r="R98" s="115"/>
      <c r="S98" s="115"/>
      <c r="T98" s="115"/>
      <c r="U98" s="115"/>
      <c r="V98" s="115"/>
      <c r="W98" s="115"/>
      <c r="X98" s="115"/>
      <c r="Y98" s="115"/>
      <c r="Z98" s="115"/>
      <c r="AA98" s="115"/>
      <c r="AB98" s="115"/>
    </row>
    <row r="99" spans="1:34" ht="24">
      <c r="A99" s="226">
        <v>40045548</v>
      </c>
      <c r="B99" s="107">
        <v>29</v>
      </c>
      <c r="C99" s="103" t="s">
        <v>27</v>
      </c>
      <c r="D99" s="101">
        <v>158</v>
      </c>
      <c r="E99" s="101" t="s">
        <v>132</v>
      </c>
      <c r="F99" s="108" t="s">
        <v>291</v>
      </c>
      <c r="G99" s="101" t="s">
        <v>100</v>
      </c>
      <c r="H99" s="101" t="s">
        <v>134</v>
      </c>
      <c r="I99" s="101">
        <v>2022</v>
      </c>
      <c r="J99" s="101">
        <v>12542</v>
      </c>
      <c r="K99" s="142">
        <v>744504</v>
      </c>
      <c r="L99" s="101" t="s">
        <v>199</v>
      </c>
      <c r="M99" s="105" t="s">
        <v>166</v>
      </c>
      <c r="N99" s="115"/>
      <c r="O99" s="219"/>
      <c r="P99" s="115">
        <f t="shared" si="2"/>
        <v>0</v>
      </c>
      <c r="Q99" s="115"/>
      <c r="R99" s="115"/>
      <c r="S99" s="115"/>
      <c r="T99" s="115"/>
      <c r="U99" s="115"/>
      <c r="V99" s="115"/>
      <c r="W99" s="115"/>
      <c r="X99" s="115"/>
      <c r="Y99" s="115"/>
      <c r="Z99" s="115"/>
      <c r="AA99" s="115"/>
      <c r="AB99" s="115"/>
    </row>
    <row r="100" spans="1:34" ht="24">
      <c r="A100" s="226">
        <v>40039274</v>
      </c>
      <c r="B100" s="107">
        <v>29</v>
      </c>
      <c r="C100" s="103" t="s">
        <v>27</v>
      </c>
      <c r="D100" s="101">
        <v>159</v>
      </c>
      <c r="E100" s="101" t="s">
        <v>132</v>
      </c>
      <c r="F100" s="108" t="s">
        <v>292</v>
      </c>
      <c r="G100" s="101" t="s">
        <v>93</v>
      </c>
      <c r="H100" s="101" t="s">
        <v>185</v>
      </c>
      <c r="I100" s="101">
        <v>2022</v>
      </c>
      <c r="J100" s="101">
        <v>12627</v>
      </c>
      <c r="K100" s="142">
        <v>357797.56800000003</v>
      </c>
      <c r="L100" s="270" t="s">
        <v>162</v>
      </c>
      <c r="M100" s="105" t="s">
        <v>166</v>
      </c>
      <c r="N100" s="115"/>
      <c r="O100" s="219"/>
      <c r="P100" s="115">
        <f t="shared" si="2"/>
        <v>0</v>
      </c>
      <c r="Q100" s="115"/>
      <c r="R100" s="115"/>
      <c r="S100" s="115"/>
      <c r="T100" s="115"/>
      <c r="U100" s="115"/>
      <c r="V100" s="115"/>
      <c r="W100" s="115"/>
      <c r="X100" s="115"/>
      <c r="Y100" s="115"/>
      <c r="Z100" s="115"/>
      <c r="AA100" s="115"/>
      <c r="AB100" s="115"/>
    </row>
    <row r="101" spans="1:34" ht="24">
      <c r="A101" s="226">
        <v>40045421</v>
      </c>
      <c r="B101" s="107">
        <v>29</v>
      </c>
      <c r="C101" s="103" t="s">
        <v>27</v>
      </c>
      <c r="D101" s="101">
        <v>160</v>
      </c>
      <c r="E101" s="101" t="s">
        <v>132</v>
      </c>
      <c r="F101" s="108" t="s">
        <v>293</v>
      </c>
      <c r="G101" s="101" t="s">
        <v>92</v>
      </c>
      <c r="H101" s="101" t="s">
        <v>134</v>
      </c>
      <c r="I101" s="101">
        <v>2022</v>
      </c>
      <c r="J101" s="119">
        <v>12627</v>
      </c>
      <c r="K101" s="143">
        <v>817899</v>
      </c>
      <c r="L101" s="101" t="s">
        <v>216</v>
      </c>
      <c r="M101" s="105" t="s">
        <v>294</v>
      </c>
      <c r="N101" s="115">
        <v>1000</v>
      </c>
      <c r="O101" s="219"/>
      <c r="P101" s="115">
        <f t="shared" si="2"/>
        <v>0</v>
      </c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</row>
    <row r="102" spans="1:34" ht="36">
      <c r="A102" s="226">
        <v>40011670</v>
      </c>
      <c r="B102" s="107">
        <v>29</v>
      </c>
      <c r="C102" s="103" t="s">
        <v>27</v>
      </c>
      <c r="D102" s="101">
        <v>161</v>
      </c>
      <c r="E102" s="101" t="s">
        <v>132</v>
      </c>
      <c r="F102" s="108" t="s">
        <v>295</v>
      </c>
      <c r="G102" s="101" t="s">
        <v>92</v>
      </c>
      <c r="H102" s="101" t="s">
        <v>276</v>
      </c>
      <c r="I102" s="119">
        <v>2020</v>
      </c>
      <c r="J102" s="119">
        <v>10619</v>
      </c>
      <c r="K102" s="143">
        <v>890792</v>
      </c>
      <c r="L102" s="270" t="s">
        <v>159</v>
      </c>
      <c r="M102" s="105" t="s">
        <v>166</v>
      </c>
      <c r="N102" s="115"/>
      <c r="O102" s="219"/>
      <c r="P102" s="115">
        <f t="shared" si="2"/>
        <v>0</v>
      </c>
      <c r="Q102" s="115"/>
      <c r="R102" s="115"/>
      <c r="S102" s="115"/>
      <c r="T102" s="115"/>
      <c r="U102" s="115"/>
      <c r="V102" s="115"/>
      <c r="W102" s="115"/>
      <c r="X102" s="115"/>
      <c r="Y102" s="115"/>
      <c r="Z102" s="115"/>
      <c r="AA102" s="115"/>
      <c r="AB102" s="115"/>
    </row>
    <row r="103" spans="1:34" ht="24">
      <c r="A103" s="226">
        <v>40010001</v>
      </c>
      <c r="B103" s="107">
        <v>29</v>
      </c>
      <c r="C103" s="103" t="s">
        <v>27</v>
      </c>
      <c r="D103" s="101">
        <v>163</v>
      </c>
      <c r="E103" s="101" t="s">
        <v>132</v>
      </c>
      <c r="F103" s="108" t="s">
        <v>296</v>
      </c>
      <c r="G103" s="101" t="s">
        <v>99</v>
      </c>
      <c r="H103" s="101" t="s">
        <v>134</v>
      </c>
      <c r="I103" s="101">
        <v>2020</v>
      </c>
      <c r="J103" s="101">
        <v>10619</v>
      </c>
      <c r="K103" s="142">
        <v>193970</v>
      </c>
      <c r="L103" s="101" t="s">
        <v>226</v>
      </c>
      <c r="M103" s="105" t="s">
        <v>166</v>
      </c>
      <c r="N103" s="115"/>
      <c r="O103" s="115"/>
      <c r="P103" s="115">
        <f t="shared" si="2"/>
        <v>0</v>
      </c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</row>
    <row r="104" spans="1:34" ht="36">
      <c r="A104" s="226">
        <v>30118718</v>
      </c>
      <c r="B104" s="107">
        <v>33</v>
      </c>
      <c r="C104" s="103" t="s">
        <v>27</v>
      </c>
      <c r="D104" s="64">
        <v>211</v>
      </c>
      <c r="E104" s="101" t="s">
        <v>132</v>
      </c>
      <c r="F104" s="108" t="s">
        <v>297</v>
      </c>
      <c r="G104" s="101" t="s">
        <v>103</v>
      </c>
      <c r="H104" s="101" t="s">
        <v>134</v>
      </c>
      <c r="I104" s="101">
        <v>2011</v>
      </c>
      <c r="J104" s="119">
        <v>5244</v>
      </c>
      <c r="K104" s="142">
        <v>6448888</v>
      </c>
      <c r="L104" s="101" t="s">
        <v>298</v>
      </c>
      <c r="M104" s="105" t="s">
        <v>132</v>
      </c>
      <c r="N104" s="115">
        <v>407074</v>
      </c>
      <c r="O104" s="115">
        <v>407074</v>
      </c>
      <c r="P104" s="115">
        <f t="shared" si="2"/>
        <v>0</v>
      </c>
      <c r="Q104" s="115"/>
      <c r="R104" s="115"/>
      <c r="S104" s="115"/>
      <c r="T104" s="115"/>
      <c r="U104" s="115"/>
      <c r="V104" s="115"/>
      <c r="W104" s="115"/>
      <c r="X104" s="115"/>
      <c r="Y104" s="115"/>
      <c r="Z104" s="115"/>
      <c r="AA104" s="115"/>
      <c r="AB104" s="115"/>
    </row>
    <row r="105" spans="1:34" ht="24">
      <c r="A105" s="226">
        <v>40014269</v>
      </c>
      <c r="B105" s="101">
        <v>33</v>
      </c>
      <c r="C105" s="103" t="s">
        <v>27</v>
      </c>
      <c r="D105" s="64">
        <v>410</v>
      </c>
      <c r="E105" s="101" t="s">
        <v>132</v>
      </c>
      <c r="F105" s="108" t="s">
        <v>299</v>
      </c>
      <c r="G105" s="101" t="s">
        <v>103</v>
      </c>
      <c r="H105" s="101" t="s">
        <v>300</v>
      </c>
      <c r="I105" s="101">
        <v>2019</v>
      </c>
      <c r="J105" s="101">
        <v>10066</v>
      </c>
      <c r="K105" s="146">
        <v>135000</v>
      </c>
      <c r="L105" s="101" t="s">
        <v>301</v>
      </c>
      <c r="M105" s="105" t="s">
        <v>132</v>
      </c>
      <c r="N105" s="115">
        <v>75</v>
      </c>
      <c r="O105" s="115">
        <v>75</v>
      </c>
      <c r="P105" s="115">
        <f t="shared" ref="P105:P130" si="3">SUM(Q105:AB105)</f>
        <v>0</v>
      </c>
      <c r="Q105" s="115"/>
      <c r="R105" s="115"/>
      <c r="S105" s="115"/>
      <c r="T105" s="115"/>
      <c r="U105" s="115"/>
      <c r="V105" s="115"/>
      <c r="W105" s="115"/>
      <c r="X105" s="115"/>
      <c r="Y105" s="115"/>
      <c r="Z105" s="115"/>
      <c r="AA105" s="115"/>
      <c r="AB105" s="115"/>
      <c r="AC105" s="140"/>
      <c r="AD105" s="140"/>
      <c r="AE105" s="140"/>
      <c r="AF105" s="140"/>
      <c r="AG105" s="140"/>
      <c r="AH105" s="140"/>
    </row>
    <row r="106" spans="1:34" ht="24">
      <c r="A106" s="226">
        <v>40014467</v>
      </c>
      <c r="B106" s="107">
        <v>33</v>
      </c>
      <c r="C106" s="103" t="s">
        <v>27</v>
      </c>
      <c r="D106" s="101">
        <v>413</v>
      </c>
      <c r="E106" s="101" t="s">
        <v>132</v>
      </c>
      <c r="F106" s="108" t="s">
        <v>302</v>
      </c>
      <c r="G106" s="101" t="s">
        <v>103</v>
      </c>
      <c r="H106" s="101" t="s">
        <v>300</v>
      </c>
      <c r="I106" s="101">
        <v>2019</v>
      </c>
      <c r="J106" s="101">
        <v>10066</v>
      </c>
      <c r="K106" s="142">
        <v>118775</v>
      </c>
      <c r="L106" s="101" t="s">
        <v>301</v>
      </c>
      <c r="M106" s="105" t="s">
        <v>132</v>
      </c>
      <c r="N106" s="115">
        <v>3629</v>
      </c>
      <c r="O106" s="115">
        <v>3629</v>
      </c>
      <c r="P106" s="115">
        <f t="shared" si="3"/>
        <v>0</v>
      </c>
      <c r="Q106" s="115"/>
      <c r="R106" s="115"/>
      <c r="S106" s="115"/>
      <c r="T106" s="115"/>
      <c r="U106" s="115"/>
      <c r="V106" s="115"/>
      <c r="W106" s="115"/>
      <c r="X106" s="115"/>
      <c r="Y106" s="115"/>
      <c r="Z106" s="115"/>
      <c r="AA106" s="115"/>
      <c r="AB106" s="115"/>
      <c r="AC106" s="140"/>
      <c r="AD106" s="140"/>
      <c r="AE106" s="140"/>
      <c r="AF106" s="140"/>
      <c r="AG106" s="140"/>
      <c r="AH106" s="140"/>
    </row>
    <row r="107" spans="1:34" ht="24">
      <c r="A107" s="226">
        <v>40014502</v>
      </c>
      <c r="B107" s="101">
        <v>33</v>
      </c>
      <c r="C107" s="103" t="s">
        <v>27</v>
      </c>
      <c r="D107" s="64">
        <v>416</v>
      </c>
      <c r="E107" s="101" t="s">
        <v>132</v>
      </c>
      <c r="F107" s="108" t="s">
        <v>303</v>
      </c>
      <c r="G107" s="101" t="s">
        <v>103</v>
      </c>
      <c r="H107" s="101" t="s">
        <v>300</v>
      </c>
      <c r="I107" s="101">
        <v>2019</v>
      </c>
      <c r="J107" s="101">
        <v>10066</v>
      </c>
      <c r="K107" s="146">
        <v>134985</v>
      </c>
      <c r="L107" s="101" t="s">
        <v>301</v>
      </c>
      <c r="M107" s="105" t="s">
        <v>132</v>
      </c>
      <c r="N107" s="115">
        <v>26</v>
      </c>
      <c r="O107" s="115">
        <v>26</v>
      </c>
      <c r="P107" s="115">
        <f t="shared" si="3"/>
        <v>0</v>
      </c>
      <c r="Q107" s="115"/>
      <c r="R107" s="115"/>
      <c r="S107" s="115"/>
      <c r="T107" s="115"/>
      <c r="U107" s="115"/>
      <c r="V107" s="115"/>
      <c r="W107" s="115"/>
      <c r="X107" s="115"/>
      <c r="Y107" s="115"/>
      <c r="Z107" s="115"/>
      <c r="AA107" s="115"/>
      <c r="AB107" s="115"/>
      <c r="AC107" s="140"/>
      <c r="AD107" s="140"/>
      <c r="AE107" s="140"/>
      <c r="AF107" s="140"/>
      <c r="AG107" s="140"/>
      <c r="AH107" s="140"/>
    </row>
    <row r="108" spans="1:34" ht="24">
      <c r="A108" s="226">
        <v>40014503</v>
      </c>
      <c r="B108" s="101">
        <v>33</v>
      </c>
      <c r="C108" s="103" t="s">
        <v>27</v>
      </c>
      <c r="D108" s="64">
        <v>417</v>
      </c>
      <c r="E108" s="101" t="s">
        <v>132</v>
      </c>
      <c r="F108" s="108" t="s">
        <v>304</v>
      </c>
      <c r="G108" s="101" t="s">
        <v>103</v>
      </c>
      <c r="H108" s="101" t="s">
        <v>300</v>
      </c>
      <c r="I108" s="101">
        <v>2019</v>
      </c>
      <c r="J108" s="101">
        <v>10066</v>
      </c>
      <c r="K108" s="146">
        <v>106960</v>
      </c>
      <c r="L108" s="101" t="s">
        <v>301</v>
      </c>
      <c r="M108" s="105" t="s">
        <v>132</v>
      </c>
      <c r="N108" s="115">
        <v>1610</v>
      </c>
      <c r="O108" s="115">
        <v>1610</v>
      </c>
      <c r="P108" s="115">
        <f t="shared" si="3"/>
        <v>0</v>
      </c>
      <c r="Q108" s="115"/>
      <c r="R108" s="115"/>
      <c r="S108" s="115"/>
      <c r="T108" s="115"/>
      <c r="U108" s="115"/>
      <c r="V108" s="115"/>
      <c r="W108" s="115"/>
      <c r="X108" s="115"/>
      <c r="Y108" s="115"/>
      <c r="Z108" s="115"/>
      <c r="AA108" s="115"/>
      <c r="AB108" s="115"/>
      <c r="AC108" s="140"/>
      <c r="AD108" s="140"/>
      <c r="AE108" s="140"/>
      <c r="AF108" s="140"/>
      <c r="AG108" s="140"/>
      <c r="AH108" s="140"/>
    </row>
    <row r="109" spans="1:34" ht="36">
      <c r="A109" s="226">
        <v>40019817</v>
      </c>
      <c r="B109" s="101">
        <v>33</v>
      </c>
      <c r="C109" s="103" t="s">
        <v>27</v>
      </c>
      <c r="D109" s="64">
        <v>422</v>
      </c>
      <c r="E109" s="101" t="s">
        <v>132</v>
      </c>
      <c r="F109" s="108" t="s">
        <v>305</v>
      </c>
      <c r="G109" s="101" t="s">
        <v>103</v>
      </c>
      <c r="H109" s="101" t="s">
        <v>306</v>
      </c>
      <c r="I109" s="101">
        <v>2020</v>
      </c>
      <c r="J109" s="101">
        <v>10767</v>
      </c>
      <c r="K109" s="146">
        <v>3240000</v>
      </c>
      <c r="L109" s="101" t="s">
        <v>307</v>
      </c>
      <c r="M109" s="105" t="s">
        <v>132</v>
      </c>
      <c r="N109" s="115">
        <v>22</v>
      </c>
      <c r="O109" s="115">
        <v>22</v>
      </c>
      <c r="P109" s="115">
        <f t="shared" si="3"/>
        <v>0</v>
      </c>
      <c r="Q109" s="115"/>
      <c r="R109" s="115"/>
      <c r="S109" s="115"/>
      <c r="T109" s="115"/>
      <c r="U109" s="115"/>
      <c r="V109" s="115"/>
      <c r="W109" s="115"/>
      <c r="X109" s="115"/>
      <c r="Y109" s="115"/>
      <c r="Z109" s="285"/>
      <c r="AA109" s="115"/>
      <c r="AB109" s="277"/>
    </row>
    <row r="110" spans="1:34" ht="24">
      <c r="A110" s="226">
        <v>40014432</v>
      </c>
      <c r="B110" s="101">
        <v>33</v>
      </c>
      <c r="C110" s="103" t="s">
        <v>27</v>
      </c>
      <c r="D110" s="64">
        <v>430</v>
      </c>
      <c r="E110" s="101" t="s">
        <v>132</v>
      </c>
      <c r="F110" s="108" t="s">
        <v>308</v>
      </c>
      <c r="G110" s="101" t="s">
        <v>103</v>
      </c>
      <c r="H110" s="101" t="s">
        <v>147</v>
      </c>
      <c r="I110" s="101">
        <v>2021</v>
      </c>
      <c r="J110" s="101">
        <v>11384</v>
      </c>
      <c r="K110" s="146">
        <v>3488542</v>
      </c>
      <c r="L110" s="101" t="s">
        <v>173</v>
      </c>
      <c r="M110" s="105" t="s">
        <v>132</v>
      </c>
      <c r="N110" s="115">
        <v>689438</v>
      </c>
      <c r="O110" s="115">
        <v>689438</v>
      </c>
      <c r="P110" s="115">
        <f t="shared" si="3"/>
        <v>152148.573</v>
      </c>
      <c r="Q110" s="115"/>
      <c r="R110" s="277">
        <v>16.21</v>
      </c>
      <c r="S110" s="115"/>
      <c r="T110" s="115">
        <v>6063.4040000000005</v>
      </c>
      <c r="U110" s="115">
        <v>144209.035</v>
      </c>
      <c r="V110" s="115">
        <v>1859.924</v>
      </c>
      <c r="W110" s="115"/>
      <c r="X110" s="115"/>
      <c r="Y110" s="115"/>
      <c r="Z110" s="285"/>
      <c r="AA110" s="115"/>
      <c r="AB110" s="277"/>
    </row>
    <row r="111" spans="1:34" ht="24">
      <c r="A111" s="227">
        <v>40009309</v>
      </c>
      <c r="B111" s="107">
        <v>33</v>
      </c>
      <c r="C111" s="103" t="s">
        <v>27</v>
      </c>
      <c r="D111" s="107">
        <v>432</v>
      </c>
      <c r="E111" s="101" t="s">
        <v>132</v>
      </c>
      <c r="F111" s="108" t="s">
        <v>309</v>
      </c>
      <c r="G111" s="101" t="s">
        <v>103</v>
      </c>
      <c r="H111" s="101" t="s">
        <v>310</v>
      </c>
      <c r="I111" s="101">
        <v>2019</v>
      </c>
      <c r="J111" s="101">
        <v>10023</v>
      </c>
      <c r="K111" s="117">
        <v>1000000</v>
      </c>
      <c r="L111" s="270" t="s">
        <v>311</v>
      </c>
      <c r="M111" s="105" t="s">
        <v>132</v>
      </c>
      <c r="N111" s="115">
        <v>26833</v>
      </c>
      <c r="O111" s="115">
        <v>26833</v>
      </c>
      <c r="P111" s="115">
        <f t="shared" si="3"/>
        <v>1128.941</v>
      </c>
      <c r="Q111" s="115"/>
      <c r="R111" s="277">
        <v>549.86400000000003</v>
      </c>
      <c r="S111" s="277">
        <v>-549.86400000000003</v>
      </c>
      <c r="T111" s="115"/>
      <c r="U111" s="115"/>
      <c r="V111" s="115">
        <v>1128.941</v>
      </c>
      <c r="W111" s="115"/>
      <c r="X111" s="115"/>
      <c r="Y111" s="115"/>
      <c r="Z111" s="285"/>
      <c r="AA111" s="115"/>
      <c r="AB111" s="277"/>
    </row>
    <row r="112" spans="1:34" ht="24">
      <c r="A112" s="226">
        <v>40029266</v>
      </c>
      <c r="B112" s="101">
        <v>33</v>
      </c>
      <c r="C112" s="103" t="s">
        <v>27</v>
      </c>
      <c r="D112" s="64">
        <v>433</v>
      </c>
      <c r="E112" s="101" t="s">
        <v>132</v>
      </c>
      <c r="F112" s="108" t="s">
        <v>312</v>
      </c>
      <c r="G112" s="101" t="s">
        <v>103</v>
      </c>
      <c r="H112" s="101" t="s">
        <v>134</v>
      </c>
      <c r="I112" s="101">
        <v>2021</v>
      </c>
      <c r="J112" s="101">
        <v>11296</v>
      </c>
      <c r="K112" s="146">
        <v>2800000</v>
      </c>
      <c r="L112" s="101" t="s">
        <v>307</v>
      </c>
      <c r="M112" s="105" t="s">
        <v>132</v>
      </c>
      <c r="N112" s="115"/>
      <c r="O112" s="115"/>
      <c r="P112" s="115">
        <f t="shared" si="3"/>
        <v>0</v>
      </c>
      <c r="Q112" s="115"/>
      <c r="R112" s="115"/>
      <c r="S112" s="115"/>
      <c r="T112" s="115"/>
      <c r="U112" s="115"/>
      <c r="V112" s="115"/>
      <c r="W112" s="115"/>
      <c r="X112" s="115"/>
      <c r="Y112" s="115"/>
      <c r="Z112" s="115"/>
      <c r="AA112" s="115"/>
      <c r="AB112" s="277"/>
    </row>
    <row r="113" spans="1:28" ht="24">
      <c r="A113" s="227">
        <v>40040997</v>
      </c>
      <c r="B113" s="107">
        <v>33</v>
      </c>
      <c r="C113" s="103" t="s">
        <v>27</v>
      </c>
      <c r="D113" s="116">
        <v>436</v>
      </c>
      <c r="E113" s="101" t="s">
        <v>132</v>
      </c>
      <c r="F113" s="108" t="s">
        <v>313</v>
      </c>
      <c r="G113" s="101" t="s">
        <v>103</v>
      </c>
      <c r="H113" s="101" t="s">
        <v>185</v>
      </c>
      <c r="I113" s="101">
        <v>2022</v>
      </c>
      <c r="J113" s="101">
        <v>12111</v>
      </c>
      <c r="K113" s="117">
        <v>134800</v>
      </c>
      <c r="L113" s="101" t="s">
        <v>301</v>
      </c>
      <c r="M113" s="105" t="s">
        <v>132</v>
      </c>
      <c r="N113" s="115">
        <v>38100</v>
      </c>
      <c r="O113" s="115">
        <v>38100</v>
      </c>
      <c r="P113" s="115">
        <f t="shared" si="3"/>
        <v>10306.800999999999</v>
      </c>
      <c r="Q113" s="115"/>
      <c r="R113" s="115"/>
      <c r="S113" s="115"/>
      <c r="T113" s="115"/>
      <c r="U113" s="115"/>
      <c r="V113" s="115">
        <v>10306.800999999999</v>
      </c>
      <c r="W113" s="115"/>
      <c r="X113" s="115"/>
      <c r="Y113" s="115"/>
      <c r="Z113" s="115"/>
      <c r="AA113" s="115"/>
      <c r="AB113" s="277"/>
    </row>
    <row r="114" spans="1:28" ht="24">
      <c r="A114" s="227">
        <v>40040998</v>
      </c>
      <c r="B114" s="107">
        <v>33</v>
      </c>
      <c r="C114" s="103" t="s">
        <v>27</v>
      </c>
      <c r="D114" s="116">
        <v>437</v>
      </c>
      <c r="E114" s="101" t="s">
        <v>132</v>
      </c>
      <c r="F114" s="108" t="s">
        <v>314</v>
      </c>
      <c r="G114" s="101" t="s">
        <v>103</v>
      </c>
      <c r="H114" s="101" t="s">
        <v>185</v>
      </c>
      <c r="I114" s="101">
        <v>2022</v>
      </c>
      <c r="J114" s="101">
        <v>12111</v>
      </c>
      <c r="K114" s="117">
        <v>134980</v>
      </c>
      <c r="L114" s="101" t="s">
        <v>301</v>
      </c>
      <c r="M114" s="105" t="s">
        <v>132</v>
      </c>
      <c r="N114" s="115">
        <v>41980</v>
      </c>
      <c r="O114" s="115">
        <v>41980</v>
      </c>
      <c r="P114" s="115">
        <f t="shared" si="3"/>
        <v>5356.3739999999998</v>
      </c>
      <c r="Q114" s="115"/>
      <c r="R114" s="115"/>
      <c r="S114" s="115"/>
      <c r="T114" s="115">
        <v>5356.3739999999998</v>
      </c>
      <c r="U114" s="115"/>
      <c r="V114" s="115"/>
      <c r="W114" s="115"/>
      <c r="X114" s="115"/>
      <c r="Y114" s="115"/>
      <c r="Z114" s="115"/>
      <c r="AA114" s="115"/>
      <c r="AB114" s="277"/>
    </row>
    <row r="115" spans="1:28" ht="24">
      <c r="A115" s="227">
        <v>40041008</v>
      </c>
      <c r="B115" s="107">
        <v>33</v>
      </c>
      <c r="C115" s="103" t="s">
        <v>27</v>
      </c>
      <c r="D115" s="116">
        <v>438</v>
      </c>
      <c r="E115" s="101" t="s">
        <v>132</v>
      </c>
      <c r="F115" s="108" t="s">
        <v>315</v>
      </c>
      <c r="G115" s="101" t="s">
        <v>103</v>
      </c>
      <c r="H115" s="101" t="s">
        <v>185</v>
      </c>
      <c r="I115" s="101">
        <v>2022</v>
      </c>
      <c r="J115" s="101">
        <v>12111</v>
      </c>
      <c r="K115" s="117">
        <v>133980</v>
      </c>
      <c r="L115" s="101" t="s">
        <v>301</v>
      </c>
      <c r="M115" s="105" t="s">
        <v>132</v>
      </c>
      <c r="N115" s="115">
        <v>30880</v>
      </c>
      <c r="O115" s="115">
        <v>30880</v>
      </c>
      <c r="P115" s="115">
        <f t="shared" si="3"/>
        <v>3828.703</v>
      </c>
      <c r="Q115" s="115"/>
      <c r="R115" s="115"/>
      <c r="S115" s="115"/>
      <c r="T115" s="115">
        <v>3828.703</v>
      </c>
      <c r="U115" s="115"/>
      <c r="V115" s="115"/>
      <c r="W115" s="115"/>
      <c r="X115" s="115"/>
      <c r="Y115" s="115"/>
      <c r="Z115" s="115"/>
      <c r="AA115" s="115"/>
      <c r="AB115" s="277"/>
    </row>
    <row r="116" spans="1:28" ht="24">
      <c r="A116" s="227">
        <v>40041011</v>
      </c>
      <c r="B116" s="107">
        <v>33</v>
      </c>
      <c r="C116" s="103" t="s">
        <v>27</v>
      </c>
      <c r="D116" s="116">
        <v>439</v>
      </c>
      <c r="E116" s="101" t="s">
        <v>132</v>
      </c>
      <c r="F116" s="108" t="s">
        <v>316</v>
      </c>
      <c r="G116" s="101" t="s">
        <v>103</v>
      </c>
      <c r="H116" s="101" t="s">
        <v>185</v>
      </c>
      <c r="I116" s="101">
        <v>2022</v>
      </c>
      <c r="J116" s="101">
        <v>12111</v>
      </c>
      <c r="K116" s="117">
        <v>134040</v>
      </c>
      <c r="L116" s="101" t="s">
        <v>301</v>
      </c>
      <c r="M116" s="105" t="s">
        <v>132</v>
      </c>
      <c r="N116" s="115">
        <v>20650</v>
      </c>
      <c r="O116" s="115">
        <v>20650</v>
      </c>
      <c r="P116" s="115">
        <f t="shared" si="3"/>
        <v>0</v>
      </c>
      <c r="Q116" s="115"/>
      <c r="R116" s="115"/>
      <c r="S116" s="115"/>
      <c r="T116" s="115"/>
      <c r="U116" s="115"/>
      <c r="V116" s="115"/>
      <c r="W116" s="115"/>
      <c r="X116" s="115"/>
      <c r="Y116" s="115"/>
      <c r="Z116" s="115"/>
      <c r="AA116" s="115"/>
      <c r="AB116" s="115"/>
    </row>
    <row r="117" spans="1:28" ht="24">
      <c r="A117" s="227">
        <v>40041014</v>
      </c>
      <c r="B117" s="107">
        <v>33</v>
      </c>
      <c r="C117" s="103" t="s">
        <v>27</v>
      </c>
      <c r="D117" s="116">
        <v>440</v>
      </c>
      <c r="E117" s="101" t="s">
        <v>132</v>
      </c>
      <c r="F117" s="108" t="s">
        <v>317</v>
      </c>
      <c r="G117" s="101" t="s">
        <v>103</v>
      </c>
      <c r="H117" s="101" t="s">
        <v>183</v>
      </c>
      <c r="I117" s="101">
        <v>2022</v>
      </c>
      <c r="J117" s="101">
        <v>12111</v>
      </c>
      <c r="K117" s="117">
        <v>132120</v>
      </c>
      <c r="L117" s="101" t="s">
        <v>301</v>
      </c>
      <c r="M117" s="105" t="s">
        <v>132</v>
      </c>
      <c r="N117" s="115">
        <v>31890</v>
      </c>
      <c r="O117" s="115">
        <v>31890</v>
      </c>
      <c r="P117" s="115">
        <f t="shared" si="3"/>
        <v>0</v>
      </c>
      <c r="Q117" s="115"/>
      <c r="R117" s="115"/>
      <c r="S117" s="115"/>
      <c r="T117" s="115"/>
      <c r="U117" s="115"/>
      <c r="V117" s="115"/>
      <c r="W117" s="115"/>
      <c r="X117" s="115"/>
      <c r="Y117" s="115"/>
      <c r="Z117" s="115"/>
      <c r="AA117" s="115"/>
      <c r="AB117" s="115"/>
    </row>
    <row r="118" spans="1:28" ht="24">
      <c r="A118" s="227">
        <v>40041015</v>
      </c>
      <c r="B118" s="107">
        <v>33</v>
      </c>
      <c r="C118" s="103" t="s">
        <v>27</v>
      </c>
      <c r="D118" s="116">
        <v>441</v>
      </c>
      <c r="E118" s="101" t="s">
        <v>132</v>
      </c>
      <c r="F118" s="108" t="s">
        <v>318</v>
      </c>
      <c r="G118" s="101" t="s">
        <v>103</v>
      </c>
      <c r="H118" s="101" t="s">
        <v>183</v>
      </c>
      <c r="I118" s="101">
        <v>2022</v>
      </c>
      <c r="J118" s="101">
        <v>12111</v>
      </c>
      <c r="K118" s="117">
        <v>104350</v>
      </c>
      <c r="L118" s="101" t="s">
        <v>301</v>
      </c>
      <c r="M118" s="105" t="s">
        <v>132</v>
      </c>
      <c r="N118" s="115">
        <v>41740</v>
      </c>
      <c r="O118" s="115">
        <v>41740</v>
      </c>
      <c r="P118" s="115">
        <f t="shared" si="3"/>
        <v>24491.505000000001</v>
      </c>
      <c r="Q118" s="115"/>
      <c r="R118" s="115"/>
      <c r="S118" s="115"/>
      <c r="T118" s="115"/>
      <c r="U118" s="115">
        <v>24491.505000000001</v>
      </c>
      <c r="V118" s="115"/>
      <c r="W118" s="115"/>
      <c r="X118" s="115"/>
      <c r="Y118" s="115"/>
      <c r="Z118" s="115"/>
      <c r="AA118" s="115"/>
      <c r="AB118" s="115"/>
    </row>
    <row r="119" spans="1:28" ht="36">
      <c r="A119" s="227">
        <v>40041019</v>
      </c>
      <c r="B119" s="107">
        <v>33</v>
      </c>
      <c r="C119" s="103" t="s">
        <v>27</v>
      </c>
      <c r="D119" s="116">
        <v>442</v>
      </c>
      <c r="E119" s="101" t="s">
        <v>132</v>
      </c>
      <c r="F119" s="108" t="s">
        <v>319</v>
      </c>
      <c r="G119" s="101" t="s">
        <v>103</v>
      </c>
      <c r="H119" s="101" t="s">
        <v>276</v>
      </c>
      <c r="I119" s="101">
        <v>2022</v>
      </c>
      <c r="J119" s="101">
        <v>12111</v>
      </c>
      <c r="K119" s="117">
        <v>126000</v>
      </c>
      <c r="L119" s="101" t="s">
        <v>301</v>
      </c>
      <c r="M119" s="105" t="s">
        <v>132</v>
      </c>
      <c r="N119" s="115">
        <v>31500</v>
      </c>
      <c r="O119" s="115">
        <v>31500</v>
      </c>
      <c r="P119" s="115">
        <f t="shared" si="3"/>
        <v>0</v>
      </c>
      <c r="Q119" s="115"/>
      <c r="R119" s="115"/>
      <c r="S119" s="115"/>
      <c r="T119" s="115"/>
      <c r="U119" s="115"/>
      <c r="V119" s="115"/>
      <c r="W119" s="115"/>
      <c r="X119" s="115"/>
      <c r="Y119" s="115"/>
      <c r="Z119" s="115"/>
      <c r="AA119" s="115"/>
      <c r="AB119" s="115"/>
    </row>
    <row r="120" spans="1:28" ht="24">
      <c r="A120" s="227">
        <v>40041035</v>
      </c>
      <c r="B120" s="107">
        <v>33</v>
      </c>
      <c r="C120" s="103" t="s">
        <v>27</v>
      </c>
      <c r="D120" s="116">
        <v>443</v>
      </c>
      <c r="E120" s="101" t="s">
        <v>132</v>
      </c>
      <c r="F120" s="108" t="s">
        <v>320</v>
      </c>
      <c r="G120" s="101" t="s">
        <v>103</v>
      </c>
      <c r="H120" s="101" t="s">
        <v>204</v>
      </c>
      <c r="I120" s="101">
        <v>2022</v>
      </c>
      <c r="J120" s="101">
        <v>12111</v>
      </c>
      <c r="K120" s="117">
        <v>127295</v>
      </c>
      <c r="L120" s="101" t="s">
        <v>321</v>
      </c>
      <c r="M120" s="105" t="s">
        <v>132</v>
      </c>
      <c r="N120" s="115">
        <v>49016</v>
      </c>
      <c r="O120" s="115">
        <v>49016</v>
      </c>
      <c r="P120" s="115">
        <f t="shared" si="3"/>
        <v>470.28</v>
      </c>
      <c r="Q120" s="115"/>
      <c r="R120" s="115"/>
      <c r="S120" s="115"/>
      <c r="T120" s="115"/>
      <c r="U120" s="115"/>
      <c r="V120" s="115">
        <v>470.28</v>
      </c>
      <c r="W120" s="115"/>
      <c r="X120" s="115"/>
      <c r="Y120" s="115"/>
      <c r="Z120" s="115"/>
      <c r="AA120" s="115"/>
      <c r="AB120" s="277"/>
    </row>
    <row r="121" spans="1:28" ht="24">
      <c r="A121" s="227">
        <v>40041149</v>
      </c>
      <c r="B121" s="107">
        <v>33</v>
      </c>
      <c r="C121" s="103" t="s">
        <v>27</v>
      </c>
      <c r="D121" s="116">
        <v>444</v>
      </c>
      <c r="E121" s="101" t="s">
        <v>132</v>
      </c>
      <c r="F121" s="108" t="s">
        <v>322</v>
      </c>
      <c r="G121" s="101" t="s">
        <v>103</v>
      </c>
      <c r="H121" s="101" t="s">
        <v>183</v>
      </c>
      <c r="I121" s="101">
        <v>2022</v>
      </c>
      <c r="J121" s="101">
        <v>12111</v>
      </c>
      <c r="K121" s="117">
        <v>120274</v>
      </c>
      <c r="L121" s="101" t="s">
        <v>301</v>
      </c>
      <c r="M121" s="105" t="s">
        <v>132</v>
      </c>
      <c r="N121" s="115">
        <v>4590</v>
      </c>
      <c r="O121" s="115">
        <v>4590</v>
      </c>
      <c r="P121" s="115">
        <f t="shared" si="3"/>
        <v>0</v>
      </c>
      <c r="Q121" s="115"/>
      <c r="R121" s="115"/>
      <c r="S121" s="115"/>
      <c r="T121" s="115"/>
      <c r="U121" s="115"/>
      <c r="V121" s="115"/>
      <c r="W121" s="115"/>
      <c r="X121" s="115"/>
      <c r="Y121" s="115"/>
      <c r="Z121" s="285"/>
      <c r="AA121" s="115"/>
      <c r="AB121" s="277"/>
    </row>
    <row r="122" spans="1:28" ht="36">
      <c r="A122" s="227">
        <v>40041156</v>
      </c>
      <c r="B122" s="107">
        <v>33</v>
      </c>
      <c r="C122" s="103" t="s">
        <v>27</v>
      </c>
      <c r="D122" s="116">
        <v>445</v>
      </c>
      <c r="E122" s="101" t="s">
        <v>132</v>
      </c>
      <c r="F122" s="108" t="s">
        <v>323</v>
      </c>
      <c r="G122" s="101" t="s">
        <v>103</v>
      </c>
      <c r="H122" s="101" t="s">
        <v>276</v>
      </c>
      <c r="I122" s="101">
        <v>2022</v>
      </c>
      <c r="J122" s="101">
        <v>12150</v>
      </c>
      <c r="K122" s="117">
        <v>134704</v>
      </c>
      <c r="L122" s="101" t="s">
        <v>321</v>
      </c>
      <c r="M122" s="105" t="s">
        <v>132</v>
      </c>
      <c r="N122" s="115">
        <v>16233</v>
      </c>
      <c r="O122" s="115">
        <v>16233</v>
      </c>
      <c r="P122" s="115">
        <f t="shared" si="3"/>
        <v>0</v>
      </c>
      <c r="Q122" s="115"/>
      <c r="R122" s="115"/>
      <c r="S122" s="115"/>
      <c r="T122" s="115"/>
      <c r="U122" s="115"/>
      <c r="V122" s="115"/>
      <c r="W122" s="115"/>
      <c r="X122" s="115"/>
      <c r="Y122" s="115"/>
      <c r="Z122" s="115"/>
      <c r="AA122" s="115"/>
      <c r="AB122" s="277"/>
    </row>
    <row r="123" spans="1:28" ht="24">
      <c r="A123" s="227">
        <v>40041158</v>
      </c>
      <c r="B123" s="107">
        <v>33</v>
      </c>
      <c r="C123" s="103" t="s">
        <v>27</v>
      </c>
      <c r="D123" s="116">
        <v>446</v>
      </c>
      <c r="E123" s="101" t="s">
        <v>132</v>
      </c>
      <c r="F123" s="108" t="s">
        <v>324</v>
      </c>
      <c r="G123" s="101" t="s">
        <v>103</v>
      </c>
      <c r="H123" s="101" t="s">
        <v>185</v>
      </c>
      <c r="I123" s="101">
        <v>2022</v>
      </c>
      <c r="J123" s="101">
        <v>12150</v>
      </c>
      <c r="K123" s="117">
        <v>134120</v>
      </c>
      <c r="L123" s="101" t="s">
        <v>301</v>
      </c>
      <c r="M123" s="105" t="s">
        <v>132</v>
      </c>
      <c r="N123" s="115">
        <v>32380</v>
      </c>
      <c r="O123" s="115">
        <v>32380</v>
      </c>
      <c r="P123" s="115">
        <f t="shared" si="3"/>
        <v>0</v>
      </c>
      <c r="Q123" s="115"/>
      <c r="R123" s="115"/>
      <c r="S123" s="115"/>
      <c r="T123" s="115"/>
      <c r="U123" s="115"/>
      <c r="V123" s="115"/>
      <c r="W123" s="115"/>
      <c r="X123" s="115"/>
      <c r="Y123" s="115"/>
      <c r="Z123" s="115"/>
      <c r="AA123" s="115"/>
      <c r="AB123" s="115"/>
    </row>
    <row r="124" spans="1:28" ht="24">
      <c r="A124" s="227">
        <v>40041162</v>
      </c>
      <c r="B124" s="107">
        <v>33</v>
      </c>
      <c r="C124" s="103" t="s">
        <v>27</v>
      </c>
      <c r="D124" s="116">
        <v>447</v>
      </c>
      <c r="E124" s="101" t="s">
        <v>132</v>
      </c>
      <c r="F124" s="108" t="s">
        <v>325</v>
      </c>
      <c r="G124" s="101" t="s">
        <v>103</v>
      </c>
      <c r="H124" s="101" t="s">
        <v>183</v>
      </c>
      <c r="I124" s="101">
        <v>2022</v>
      </c>
      <c r="J124" s="101">
        <v>12150</v>
      </c>
      <c r="K124" s="117">
        <v>127551</v>
      </c>
      <c r="L124" s="101" t="s">
        <v>301</v>
      </c>
      <c r="M124" s="105" t="s">
        <v>132</v>
      </c>
      <c r="N124" s="115">
        <v>33163</v>
      </c>
      <c r="O124" s="115">
        <v>33163</v>
      </c>
      <c r="P124" s="115">
        <f t="shared" si="3"/>
        <v>2563.3429999999998</v>
      </c>
      <c r="Q124" s="115"/>
      <c r="R124" s="115"/>
      <c r="S124" s="115"/>
      <c r="T124" s="115"/>
      <c r="U124" s="115">
        <v>2563.3429999999998</v>
      </c>
      <c r="V124" s="115"/>
      <c r="W124" s="115"/>
      <c r="X124" s="115"/>
      <c r="Y124" s="115"/>
      <c r="Z124" s="115"/>
      <c r="AA124" s="115"/>
      <c r="AB124" s="115"/>
    </row>
    <row r="125" spans="1:28" ht="24">
      <c r="A125" s="227">
        <v>40041168</v>
      </c>
      <c r="B125" s="107">
        <v>33</v>
      </c>
      <c r="C125" s="103" t="s">
        <v>27</v>
      </c>
      <c r="D125" s="116">
        <v>448</v>
      </c>
      <c r="E125" s="101" t="s">
        <v>132</v>
      </c>
      <c r="F125" s="108" t="s">
        <v>326</v>
      </c>
      <c r="G125" s="101" t="s">
        <v>103</v>
      </c>
      <c r="H125" s="101" t="s">
        <v>183</v>
      </c>
      <c r="I125" s="101">
        <v>2022</v>
      </c>
      <c r="J125" s="101">
        <v>12150</v>
      </c>
      <c r="K125" s="117">
        <v>102556</v>
      </c>
      <c r="L125" s="101" t="s">
        <v>301</v>
      </c>
      <c r="M125" s="105" t="s">
        <v>166</v>
      </c>
      <c r="N125" s="115">
        <v>13258</v>
      </c>
      <c r="O125" s="115">
        <v>13258</v>
      </c>
      <c r="P125" s="115">
        <f t="shared" si="3"/>
        <v>12778.056</v>
      </c>
      <c r="Q125" s="115"/>
      <c r="R125" s="115"/>
      <c r="S125" s="115">
        <v>12778.056</v>
      </c>
      <c r="T125" s="115"/>
      <c r="U125" s="115"/>
      <c r="V125" s="115"/>
      <c r="W125" s="115"/>
      <c r="X125" s="115"/>
      <c r="Y125" s="115"/>
      <c r="Z125" s="115"/>
      <c r="AA125" s="115"/>
      <c r="AB125" s="115"/>
    </row>
    <row r="126" spans="1:28" ht="24">
      <c r="A126" s="227">
        <v>40043075</v>
      </c>
      <c r="B126" s="107">
        <v>33</v>
      </c>
      <c r="C126" s="103" t="s">
        <v>27</v>
      </c>
      <c r="D126" s="116">
        <v>449</v>
      </c>
      <c r="E126" s="101" t="s">
        <v>132</v>
      </c>
      <c r="F126" s="108" t="s">
        <v>327</v>
      </c>
      <c r="G126" s="101" t="s">
        <v>103</v>
      </c>
      <c r="H126" s="101" t="s">
        <v>185</v>
      </c>
      <c r="I126" s="101">
        <v>2022</v>
      </c>
      <c r="J126" s="101">
        <v>12456</v>
      </c>
      <c r="K126" s="117">
        <v>1000000</v>
      </c>
      <c r="L126" s="101" t="s">
        <v>328</v>
      </c>
      <c r="M126" s="105" t="s">
        <v>132</v>
      </c>
      <c r="N126" s="115"/>
      <c r="O126" s="115"/>
      <c r="P126" s="115">
        <f t="shared" si="3"/>
        <v>0</v>
      </c>
      <c r="Q126" s="115"/>
      <c r="R126" s="115"/>
      <c r="S126" s="115"/>
      <c r="T126" s="115"/>
      <c r="U126" s="115"/>
      <c r="V126" s="115"/>
      <c r="W126" s="115"/>
      <c r="X126" s="115"/>
      <c r="Y126" s="115"/>
      <c r="Z126" s="285"/>
      <c r="AA126" s="115"/>
      <c r="AB126" s="115"/>
    </row>
    <row r="127" spans="1:28" ht="24">
      <c r="A127" s="226">
        <v>40037922</v>
      </c>
      <c r="B127" s="117">
        <v>33</v>
      </c>
      <c r="C127" s="120" t="s">
        <v>27</v>
      </c>
      <c r="D127" s="64">
        <v>450</v>
      </c>
      <c r="E127" s="117" t="s">
        <v>132</v>
      </c>
      <c r="F127" s="108" t="s">
        <v>329</v>
      </c>
      <c r="G127" s="117" t="s">
        <v>103</v>
      </c>
      <c r="H127" s="101" t="s">
        <v>134</v>
      </c>
      <c r="I127" s="101">
        <v>2022</v>
      </c>
      <c r="J127" s="101">
        <v>12354</v>
      </c>
      <c r="K127" s="146">
        <v>350978</v>
      </c>
      <c r="L127" s="101" t="s">
        <v>330</v>
      </c>
      <c r="M127" s="105" t="s">
        <v>132</v>
      </c>
      <c r="N127" s="115">
        <v>44328</v>
      </c>
      <c r="O127" s="115">
        <v>44328</v>
      </c>
      <c r="P127" s="115">
        <f t="shared" si="3"/>
        <v>71477.277999999991</v>
      </c>
      <c r="Q127" s="115"/>
      <c r="R127" s="115"/>
      <c r="S127" s="115">
        <v>21601.728999999999</v>
      </c>
      <c r="T127" s="115"/>
      <c r="U127" s="115">
        <v>38540.142</v>
      </c>
      <c r="V127" s="115">
        <v>11335.406999999999</v>
      </c>
      <c r="W127" s="115"/>
      <c r="X127" s="115"/>
      <c r="Y127" s="115"/>
      <c r="Z127" s="285"/>
      <c r="AA127" s="115"/>
      <c r="AB127" s="115"/>
    </row>
    <row r="128" spans="1:28" ht="24">
      <c r="A128" s="227">
        <v>40041884</v>
      </c>
      <c r="B128" s="107">
        <v>33</v>
      </c>
      <c r="C128" s="103" t="s">
        <v>27</v>
      </c>
      <c r="D128" s="116">
        <v>451</v>
      </c>
      <c r="E128" s="101" t="s">
        <v>132</v>
      </c>
      <c r="F128" s="108" t="s">
        <v>331</v>
      </c>
      <c r="G128" s="101" t="s">
        <v>103</v>
      </c>
      <c r="H128" s="101" t="s">
        <v>185</v>
      </c>
      <c r="I128" s="101">
        <v>2022</v>
      </c>
      <c r="J128" s="101">
        <v>12453</v>
      </c>
      <c r="K128" s="117">
        <v>250000</v>
      </c>
      <c r="L128" s="101" t="s">
        <v>307</v>
      </c>
      <c r="M128" s="105" t="s">
        <v>132</v>
      </c>
      <c r="N128" s="115">
        <v>2807</v>
      </c>
      <c r="O128" s="115">
        <v>2807</v>
      </c>
      <c r="P128" s="115">
        <f t="shared" si="3"/>
        <v>0</v>
      </c>
      <c r="Q128" s="115"/>
      <c r="R128" s="115"/>
      <c r="S128" s="115"/>
      <c r="T128" s="115"/>
      <c r="U128" s="115"/>
      <c r="V128" s="115"/>
      <c r="W128" s="115"/>
      <c r="X128" s="115"/>
      <c r="Y128" s="115"/>
      <c r="Z128" s="115"/>
      <c r="AA128" s="115"/>
      <c r="AB128" s="277"/>
    </row>
    <row r="129" spans="1:28" ht="24">
      <c r="A129" s="227">
        <v>40041885</v>
      </c>
      <c r="B129" s="107">
        <v>33</v>
      </c>
      <c r="C129" s="103" t="s">
        <v>27</v>
      </c>
      <c r="D129" s="116">
        <v>452</v>
      </c>
      <c r="E129" s="101" t="s">
        <v>132</v>
      </c>
      <c r="F129" s="108" t="s">
        <v>332</v>
      </c>
      <c r="G129" s="101" t="s">
        <v>103</v>
      </c>
      <c r="H129" s="101" t="s">
        <v>183</v>
      </c>
      <c r="I129" s="101">
        <v>2022</v>
      </c>
      <c r="J129" s="101">
        <v>12453</v>
      </c>
      <c r="K129" s="117">
        <v>250000</v>
      </c>
      <c r="L129" s="101" t="s">
        <v>307</v>
      </c>
      <c r="M129" s="105" t="s">
        <v>132</v>
      </c>
      <c r="N129" s="115">
        <v>6221</v>
      </c>
      <c r="O129" s="115">
        <v>6221</v>
      </c>
      <c r="P129" s="115">
        <f t="shared" si="3"/>
        <v>0</v>
      </c>
      <c r="Q129" s="115"/>
      <c r="R129" s="115"/>
      <c r="S129" s="115"/>
      <c r="T129" s="115"/>
      <c r="U129" s="115"/>
      <c r="V129" s="115"/>
      <c r="W129" s="115"/>
      <c r="X129" s="115"/>
      <c r="Y129" s="115"/>
      <c r="Z129" s="115"/>
      <c r="AA129" s="115"/>
      <c r="AB129" s="115"/>
    </row>
    <row r="130" spans="1:28" ht="36">
      <c r="A130" s="227">
        <v>40041902</v>
      </c>
      <c r="B130" s="107">
        <v>33</v>
      </c>
      <c r="C130" s="103" t="s">
        <v>27</v>
      </c>
      <c r="D130" s="116">
        <v>453</v>
      </c>
      <c r="E130" s="101" t="s">
        <v>132</v>
      </c>
      <c r="F130" s="108" t="s">
        <v>333</v>
      </c>
      <c r="G130" s="101" t="s">
        <v>103</v>
      </c>
      <c r="H130" s="101" t="s">
        <v>183</v>
      </c>
      <c r="I130" s="101">
        <v>2022</v>
      </c>
      <c r="J130" s="101">
        <v>12453</v>
      </c>
      <c r="K130" s="117">
        <v>250000</v>
      </c>
      <c r="L130" s="101" t="s">
        <v>307</v>
      </c>
      <c r="M130" s="105" t="s">
        <v>132</v>
      </c>
      <c r="N130" s="115">
        <v>3841</v>
      </c>
      <c r="O130" s="115">
        <v>3841</v>
      </c>
      <c r="P130" s="115">
        <f t="shared" si="3"/>
        <v>2245.7150000000001</v>
      </c>
      <c r="Q130" s="115"/>
      <c r="R130" s="115"/>
      <c r="S130" s="115">
        <v>2245.7150000000001</v>
      </c>
      <c r="T130" s="115"/>
      <c r="U130" s="115"/>
      <c r="V130" s="115"/>
      <c r="W130" s="115"/>
      <c r="X130" s="115"/>
      <c r="Y130" s="115"/>
      <c r="Z130" s="115"/>
      <c r="AA130" s="115"/>
      <c r="AB130" s="277"/>
    </row>
    <row r="131" spans="1:28" ht="36">
      <c r="A131" s="226">
        <v>40036815</v>
      </c>
      <c r="B131" s="117">
        <v>33</v>
      </c>
      <c r="C131" s="120" t="s">
        <v>27</v>
      </c>
      <c r="D131" s="64">
        <v>454</v>
      </c>
      <c r="E131" s="117" t="s">
        <v>132</v>
      </c>
      <c r="F131" s="108" t="s">
        <v>334</v>
      </c>
      <c r="G131" s="117" t="s">
        <v>103</v>
      </c>
      <c r="H131" s="101" t="s">
        <v>276</v>
      </c>
      <c r="I131" s="101">
        <v>2022</v>
      </c>
      <c r="J131" s="101">
        <v>12542</v>
      </c>
      <c r="K131" s="146">
        <v>1068404</v>
      </c>
      <c r="L131" s="101" t="s">
        <v>335</v>
      </c>
      <c r="M131" s="105" t="s">
        <v>132</v>
      </c>
      <c r="N131" s="115">
        <v>173902</v>
      </c>
      <c r="O131" s="115">
        <v>173902</v>
      </c>
      <c r="P131" s="115">
        <f t="shared" ref="P131:P160" si="4">SUM(Q131:AB131)</f>
        <v>0</v>
      </c>
      <c r="Q131" s="115"/>
      <c r="R131" s="115"/>
      <c r="S131" s="115"/>
      <c r="T131" s="115"/>
      <c r="U131" s="115"/>
      <c r="V131" s="115"/>
      <c r="W131" s="115"/>
      <c r="X131" s="115"/>
      <c r="Y131" s="115"/>
      <c r="Z131" s="285"/>
      <c r="AA131" s="115"/>
      <c r="AB131" s="277"/>
    </row>
    <row r="132" spans="1:28" ht="36">
      <c r="A132" s="264">
        <v>40036472</v>
      </c>
      <c r="B132" s="107">
        <v>33</v>
      </c>
      <c r="C132" s="103" t="s">
        <v>27</v>
      </c>
      <c r="D132" s="265">
        <v>457</v>
      </c>
      <c r="E132" s="101" t="s">
        <v>132</v>
      </c>
      <c r="F132" s="108" t="s">
        <v>336</v>
      </c>
      <c r="G132" s="117" t="s">
        <v>103</v>
      </c>
      <c r="H132" s="101" t="s">
        <v>337</v>
      </c>
      <c r="I132" s="101">
        <v>2023</v>
      </c>
      <c r="J132" s="101">
        <v>13095</v>
      </c>
      <c r="K132" s="146">
        <v>1598200</v>
      </c>
      <c r="L132" s="101" t="s">
        <v>338</v>
      </c>
      <c r="M132" s="105" t="s">
        <v>132</v>
      </c>
      <c r="N132" s="115">
        <v>721455</v>
      </c>
      <c r="O132" s="115">
        <v>721455</v>
      </c>
      <c r="P132" s="115">
        <f t="shared" si="4"/>
        <v>6320</v>
      </c>
      <c r="Q132" s="115"/>
      <c r="R132" s="115"/>
      <c r="S132" s="115"/>
      <c r="T132" s="115">
        <v>3920</v>
      </c>
      <c r="U132" s="115"/>
      <c r="V132" s="115">
        <v>2400</v>
      </c>
      <c r="W132" s="115"/>
      <c r="X132" s="115"/>
      <c r="Y132" s="115"/>
      <c r="Z132" s="115"/>
      <c r="AA132" s="115"/>
      <c r="AB132" s="115"/>
    </row>
    <row r="133" spans="1:28" ht="36">
      <c r="A133" s="264">
        <v>40056103</v>
      </c>
      <c r="B133" s="107">
        <v>33</v>
      </c>
      <c r="C133" s="103" t="s">
        <v>27</v>
      </c>
      <c r="D133" s="101">
        <v>460</v>
      </c>
      <c r="E133" s="101" t="s">
        <v>132</v>
      </c>
      <c r="F133" s="108" t="s">
        <v>339</v>
      </c>
      <c r="G133" s="117" t="s">
        <v>103</v>
      </c>
      <c r="H133" s="101" t="s">
        <v>310</v>
      </c>
      <c r="I133" s="101">
        <v>2023</v>
      </c>
      <c r="J133" s="101">
        <v>13478</v>
      </c>
      <c r="K133" s="146">
        <v>154723</v>
      </c>
      <c r="L133" s="101" t="s">
        <v>301</v>
      </c>
      <c r="M133" s="105" t="s">
        <v>340</v>
      </c>
      <c r="N133" s="115">
        <v>92833</v>
      </c>
      <c r="O133" s="115">
        <v>92833</v>
      </c>
      <c r="P133" s="115">
        <f t="shared" si="4"/>
        <v>0</v>
      </c>
      <c r="Q133" s="115"/>
      <c r="R133" s="115"/>
      <c r="S133" s="115"/>
      <c r="T133" s="115"/>
      <c r="U133" s="115"/>
      <c r="V133" s="115"/>
      <c r="W133" s="115"/>
      <c r="X133" s="115"/>
      <c r="Y133" s="115"/>
      <c r="Z133" s="115"/>
      <c r="AA133" s="115"/>
      <c r="AB133" s="115"/>
    </row>
    <row r="134" spans="1:28" ht="48">
      <c r="A134" s="264">
        <v>40055713</v>
      </c>
      <c r="B134" s="107">
        <v>33</v>
      </c>
      <c r="C134" s="103" t="s">
        <v>27</v>
      </c>
      <c r="D134" s="101">
        <v>461</v>
      </c>
      <c r="E134" s="101" t="s">
        <v>132</v>
      </c>
      <c r="F134" s="108" t="s">
        <v>341</v>
      </c>
      <c r="G134" s="117" t="s">
        <v>103</v>
      </c>
      <c r="H134" s="101" t="s">
        <v>134</v>
      </c>
      <c r="I134" s="101">
        <v>2023</v>
      </c>
      <c r="J134" s="101">
        <v>13568</v>
      </c>
      <c r="K134" s="146">
        <v>447200</v>
      </c>
      <c r="L134" s="101" t="s">
        <v>342</v>
      </c>
      <c r="M134" s="105" t="s">
        <v>132</v>
      </c>
      <c r="N134" s="115">
        <v>447200</v>
      </c>
      <c r="O134" s="115">
        <v>447200</v>
      </c>
      <c r="P134" s="115">
        <f t="shared" si="4"/>
        <v>0</v>
      </c>
      <c r="Q134" s="115"/>
      <c r="R134" s="115"/>
      <c r="S134" s="115"/>
      <c r="T134" s="115"/>
      <c r="U134" s="115"/>
      <c r="V134" s="115"/>
      <c r="W134" s="115"/>
      <c r="X134" s="115"/>
      <c r="Y134" s="115"/>
      <c r="Z134" s="115"/>
      <c r="AA134" s="115"/>
      <c r="AB134" s="115"/>
    </row>
    <row r="135" spans="1:28" ht="36">
      <c r="A135" s="264">
        <v>40046475</v>
      </c>
      <c r="B135" s="107">
        <v>33</v>
      </c>
      <c r="C135" s="103" t="s">
        <v>27</v>
      </c>
      <c r="D135" s="101">
        <v>462</v>
      </c>
      <c r="E135" s="101" t="s">
        <v>132</v>
      </c>
      <c r="F135" s="108" t="s">
        <v>343</v>
      </c>
      <c r="G135" s="117" t="s">
        <v>103</v>
      </c>
      <c r="H135" s="101" t="s">
        <v>134</v>
      </c>
      <c r="I135" s="101">
        <v>2023</v>
      </c>
      <c r="J135" s="101">
        <v>13524</v>
      </c>
      <c r="K135" s="146">
        <v>1299877</v>
      </c>
      <c r="L135" s="101" t="s">
        <v>342</v>
      </c>
      <c r="M135" s="105" t="s">
        <v>132</v>
      </c>
      <c r="N135" s="115">
        <v>704453</v>
      </c>
      <c r="O135" s="115">
        <v>704453</v>
      </c>
      <c r="P135" s="115">
        <f t="shared" si="4"/>
        <v>6255.9369999999999</v>
      </c>
      <c r="Q135" s="115"/>
      <c r="R135" s="115"/>
      <c r="S135" s="115"/>
      <c r="T135" s="115"/>
      <c r="U135" s="115"/>
      <c r="V135" s="115">
        <v>6255.9369999999999</v>
      </c>
      <c r="W135" s="115"/>
      <c r="X135" s="115"/>
      <c r="Y135" s="115"/>
      <c r="Z135" s="115"/>
      <c r="AA135" s="115"/>
      <c r="AB135" s="277"/>
    </row>
    <row r="136" spans="1:28" ht="40.5" customHeight="1">
      <c r="A136" s="264">
        <v>40053081</v>
      </c>
      <c r="B136" s="107">
        <v>33</v>
      </c>
      <c r="C136" s="103" t="s">
        <v>27</v>
      </c>
      <c r="D136" s="101">
        <v>463</v>
      </c>
      <c r="E136" s="101" t="s">
        <v>132</v>
      </c>
      <c r="F136" s="108" t="s">
        <v>344</v>
      </c>
      <c r="G136" s="117" t="s">
        <v>103</v>
      </c>
      <c r="H136" s="101" t="s">
        <v>134</v>
      </c>
      <c r="I136" s="101">
        <v>2023</v>
      </c>
      <c r="J136" s="101">
        <v>13523</v>
      </c>
      <c r="K136" s="146">
        <v>840000</v>
      </c>
      <c r="L136" s="101" t="s">
        <v>307</v>
      </c>
      <c r="M136" s="105" t="s">
        <v>340</v>
      </c>
      <c r="N136" s="115">
        <v>600000</v>
      </c>
      <c r="O136" s="115">
        <v>600000</v>
      </c>
      <c r="P136" s="115">
        <f t="shared" si="4"/>
        <v>0</v>
      </c>
      <c r="Q136" s="115"/>
      <c r="R136" s="115"/>
      <c r="S136" s="115"/>
      <c r="T136" s="115"/>
      <c r="U136" s="115"/>
      <c r="V136" s="115"/>
      <c r="W136" s="115"/>
      <c r="X136" s="115"/>
      <c r="Y136" s="115"/>
      <c r="Z136" s="115"/>
      <c r="AA136" s="115"/>
      <c r="AB136" s="115"/>
    </row>
    <row r="137" spans="1:28" ht="40.5" customHeight="1">
      <c r="A137" s="264">
        <v>40039511</v>
      </c>
      <c r="B137" s="107">
        <v>33</v>
      </c>
      <c r="C137" s="103" t="s">
        <v>27</v>
      </c>
      <c r="D137" s="101">
        <v>464</v>
      </c>
      <c r="E137" s="101" t="s">
        <v>132</v>
      </c>
      <c r="F137" s="108" t="s">
        <v>345</v>
      </c>
      <c r="G137" s="117" t="s">
        <v>103</v>
      </c>
      <c r="H137" s="101" t="s">
        <v>134</v>
      </c>
      <c r="I137" s="101">
        <v>2023</v>
      </c>
      <c r="J137" s="101">
        <v>13523</v>
      </c>
      <c r="K137" s="146">
        <v>1490000</v>
      </c>
      <c r="L137" s="101" t="s">
        <v>307</v>
      </c>
      <c r="M137" s="105" t="s">
        <v>340</v>
      </c>
      <c r="N137" s="115">
        <v>800000</v>
      </c>
      <c r="O137" s="115">
        <v>800000</v>
      </c>
      <c r="P137" s="115">
        <f t="shared" si="4"/>
        <v>0</v>
      </c>
      <c r="Q137" s="115"/>
      <c r="R137" s="115"/>
      <c r="S137" s="115"/>
      <c r="T137" s="115"/>
      <c r="U137" s="115"/>
      <c r="V137" s="115"/>
      <c r="W137" s="115"/>
      <c r="X137" s="115"/>
      <c r="Y137" s="115"/>
      <c r="Z137" s="115"/>
      <c r="AA137" s="115"/>
      <c r="AB137" s="115"/>
    </row>
    <row r="138" spans="1:28" ht="24">
      <c r="A138" s="264">
        <v>40047555</v>
      </c>
      <c r="B138" s="107">
        <v>33</v>
      </c>
      <c r="C138" s="103" t="s">
        <v>27</v>
      </c>
      <c r="D138" s="101">
        <v>465</v>
      </c>
      <c r="E138" s="101" t="s">
        <v>132</v>
      </c>
      <c r="F138" s="108" t="s">
        <v>346</v>
      </c>
      <c r="G138" s="117" t="s">
        <v>103</v>
      </c>
      <c r="H138" s="101" t="s">
        <v>134</v>
      </c>
      <c r="I138" s="101">
        <v>2023</v>
      </c>
      <c r="J138" s="101">
        <v>13479</v>
      </c>
      <c r="K138" s="146">
        <v>2690000</v>
      </c>
      <c r="L138" s="101" t="s">
        <v>307</v>
      </c>
      <c r="M138" s="105" t="s">
        <v>340</v>
      </c>
      <c r="N138" s="115">
        <v>1500000</v>
      </c>
      <c r="O138" s="115">
        <v>1500000</v>
      </c>
      <c r="P138" s="115">
        <f t="shared" si="4"/>
        <v>0</v>
      </c>
      <c r="Q138" s="115"/>
      <c r="R138" s="115"/>
      <c r="S138" s="115"/>
      <c r="T138" s="115"/>
      <c r="U138" s="115"/>
      <c r="V138" s="115"/>
      <c r="W138" s="115"/>
      <c r="X138" s="115"/>
      <c r="Y138" s="115"/>
      <c r="Z138" s="115"/>
      <c r="AA138" s="115"/>
      <c r="AB138" s="115"/>
    </row>
    <row r="139" spans="1:28" ht="36">
      <c r="A139" s="264">
        <v>40045727</v>
      </c>
      <c r="B139" s="107">
        <v>33</v>
      </c>
      <c r="C139" s="103" t="s">
        <v>27</v>
      </c>
      <c r="D139" s="101">
        <v>466</v>
      </c>
      <c r="E139" s="101" t="s">
        <v>132</v>
      </c>
      <c r="F139" s="108" t="s">
        <v>347</v>
      </c>
      <c r="G139" s="117" t="s">
        <v>103</v>
      </c>
      <c r="H139" s="101" t="s">
        <v>183</v>
      </c>
      <c r="I139" s="101">
        <v>2023</v>
      </c>
      <c r="J139" s="101">
        <v>13522</v>
      </c>
      <c r="K139" s="146">
        <v>769000</v>
      </c>
      <c r="L139" s="101" t="s">
        <v>348</v>
      </c>
      <c r="M139" s="105" t="s">
        <v>132</v>
      </c>
      <c r="N139" s="115">
        <v>491845</v>
      </c>
      <c r="O139" s="115">
        <v>491845</v>
      </c>
      <c r="P139" s="115">
        <f t="shared" si="4"/>
        <v>17625.650999999998</v>
      </c>
      <c r="Q139" s="115"/>
      <c r="R139" s="115"/>
      <c r="S139" s="115"/>
      <c r="T139" s="115">
        <v>10410</v>
      </c>
      <c r="U139" s="115"/>
      <c r="V139" s="115">
        <v>7215.6509999999998</v>
      </c>
      <c r="W139" s="115"/>
      <c r="X139" s="115"/>
      <c r="Y139" s="115"/>
      <c r="Z139" s="285"/>
      <c r="AA139" s="115"/>
      <c r="AB139" s="277"/>
    </row>
    <row r="140" spans="1:28" ht="24">
      <c r="A140" s="226">
        <v>30108069</v>
      </c>
      <c r="B140" s="107">
        <v>31</v>
      </c>
      <c r="C140" s="103" t="s">
        <v>30</v>
      </c>
      <c r="D140" s="103" t="s">
        <v>42</v>
      </c>
      <c r="E140" s="101" t="s">
        <v>132</v>
      </c>
      <c r="F140" s="108" t="s">
        <v>349</v>
      </c>
      <c r="G140" s="101" t="s">
        <v>83</v>
      </c>
      <c r="H140" s="101" t="s">
        <v>154</v>
      </c>
      <c r="I140" s="101">
        <v>2017</v>
      </c>
      <c r="J140" s="64">
        <v>8952</v>
      </c>
      <c r="K140" s="142">
        <v>4621049</v>
      </c>
      <c r="L140" s="101" t="s">
        <v>148</v>
      </c>
      <c r="M140" s="105" t="s">
        <v>177</v>
      </c>
      <c r="N140" s="115">
        <v>1000</v>
      </c>
      <c r="O140" s="115"/>
      <c r="P140" s="115">
        <f t="shared" si="4"/>
        <v>0</v>
      </c>
      <c r="Q140" s="115"/>
      <c r="R140" s="115"/>
      <c r="S140" s="115"/>
      <c r="T140" s="115"/>
      <c r="U140" s="115"/>
      <c r="V140" s="115"/>
      <c r="W140" s="115"/>
      <c r="X140" s="115"/>
      <c r="Y140" s="115"/>
      <c r="Z140" s="115"/>
      <c r="AA140" s="115"/>
      <c r="AB140" s="115"/>
    </row>
    <row r="141" spans="1:28" ht="24">
      <c r="A141" s="226">
        <v>30082130</v>
      </c>
      <c r="B141" s="101">
        <v>31</v>
      </c>
      <c r="C141" s="103" t="s">
        <v>30</v>
      </c>
      <c r="D141" s="103" t="s">
        <v>42</v>
      </c>
      <c r="E141" s="101" t="s">
        <v>132</v>
      </c>
      <c r="F141" s="108" t="s">
        <v>350</v>
      </c>
      <c r="G141" s="101" t="s">
        <v>94</v>
      </c>
      <c r="H141" s="101" t="s">
        <v>150</v>
      </c>
      <c r="I141" s="101">
        <v>2019</v>
      </c>
      <c r="J141" s="101">
        <v>10106</v>
      </c>
      <c r="K141" s="146">
        <v>802008</v>
      </c>
      <c r="L141" s="101" t="s">
        <v>135</v>
      </c>
      <c r="M141" s="105" t="s">
        <v>171</v>
      </c>
      <c r="N141" s="115">
        <v>450000</v>
      </c>
      <c r="O141" s="115"/>
      <c r="P141" s="115">
        <f t="shared" si="4"/>
        <v>0</v>
      </c>
      <c r="Q141" s="115"/>
      <c r="R141" s="115"/>
      <c r="S141" s="115"/>
      <c r="T141" s="115"/>
      <c r="U141" s="115"/>
      <c r="V141" s="115"/>
      <c r="W141" s="115"/>
      <c r="X141" s="115"/>
      <c r="Y141" s="115"/>
      <c r="Z141" s="115"/>
      <c r="AA141" s="115"/>
      <c r="AB141" s="115"/>
    </row>
    <row r="142" spans="1:28" ht="24">
      <c r="A142" s="226">
        <v>40016397</v>
      </c>
      <c r="B142" s="107">
        <v>31</v>
      </c>
      <c r="C142" s="103" t="s">
        <v>30</v>
      </c>
      <c r="D142" s="103" t="s">
        <v>42</v>
      </c>
      <c r="E142" s="101" t="s">
        <v>132</v>
      </c>
      <c r="F142" s="108" t="s">
        <v>351</v>
      </c>
      <c r="G142" s="101" t="s">
        <v>92</v>
      </c>
      <c r="H142" s="101" t="s">
        <v>352</v>
      </c>
      <c r="I142" s="101">
        <v>2020</v>
      </c>
      <c r="J142" s="64">
        <v>10369</v>
      </c>
      <c r="K142" s="142">
        <v>73231</v>
      </c>
      <c r="L142" s="101" t="s">
        <v>159</v>
      </c>
      <c r="M142" s="105" t="s">
        <v>177</v>
      </c>
      <c r="N142" s="115">
        <v>14427</v>
      </c>
      <c r="O142" s="115"/>
      <c r="P142" s="115">
        <f t="shared" si="4"/>
        <v>0</v>
      </c>
      <c r="Q142" s="115"/>
      <c r="R142" s="115"/>
      <c r="S142" s="115"/>
      <c r="T142" s="115"/>
      <c r="U142" s="115"/>
      <c r="V142" s="115"/>
      <c r="W142" s="115"/>
      <c r="X142" s="115"/>
      <c r="Y142" s="115"/>
      <c r="Z142" s="115"/>
      <c r="AA142" s="115"/>
      <c r="AB142" s="115"/>
    </row>
    <row r="143" spans="1:28" ht="36">
      <c r="A143" s="226">
        <v>30072951</v>
      </c>
      <c r="B143" s="101">
        <v>31</v>
      </c>
      <c r="C143" s="103" t="s">
        <v>30</v>
      </c>
      <c r="D143" s="103" t="s">
        <v>42</v>
      </c>
      <c r="E143" s="101" t="s">
        <v>139</v>
      </c>
      <c r="F143" s="108" t="s">
        <v>353</v>
      </c>
      <c r="G143" s="101" t="s">
        <v>98</v>
      </c>
      <c r="H143" s="101" t="s">
        <v>147</v>
      </c>
      <c r="I143" s="101">
        <v>2019</v>
      </c>
      <c r="J143" s="101">
        <v>10369</v>
      </c>
      <c r="K143" s="146">
        <v>908489</v>
      </c>
      <c r="L143" s="101" t="s">
        <v>135</v>
      </c>
      <c r="M143" s="105" t="s">
        <v>268</v>
      </c>
      <c r="N143" s="115">
        <v>290000</v>
      </c>
      <c r="O143" s="115">
        <v>45690</v>
      </c>
      <c r="P143" s="115">
        <f t="shared" si="4"/>
        <v>0</v>
      </c>
      <c r="Q143" s="115"/>
      <c r="R143" s="115"/>
      <c r="S143" s="115"/>
      <c r="T143" s="115"/>
      <c r="U143" s="115"/>
      <c r="V143" s="115"/>
      <c r="W143" s="115"/>
      <c r="X143" s="115"/>
      <c r="Y143" s="115"/>
      <c r="Z143" s="115"/>
      <c r="AA143" s="115"/>
      <c r="AB143" s="115"/>
    </row>
    <row r="144" spans="1:28" ht="36">
      <c r="A144" s="226">
        <v>40009212</v>
      </c>
      <c r="B144" s="101">
        <v>31</v>
      </c>
      <c r="C144" s="141" t="s">
        <v>30</v>
      </c>
      <c r="D144" s="103" t="s">
        <v>42</v>
      </c>
      <c r="E144" s="101" t="s">
        <v>132</v>
      </c>
      <c r="F144" s="108" t="s">
        <v>354</v>
      </c>
      <c r="G144" s="101" t="s">
        <v>84</v>
      </c>
      <c r="H144" s="101" t="s">
        <v>147</v>
      </c>
      <c r="I144" s="101">
        <v>2019</v>
      </c>
      <c r="J144" s="101">
        <v>10369</v>
      </c>
      <c r="K144" s="146">
        <v>2375629.497</v>
      </c>
      <c r="L144" s="101" t="s">
        <v>173</v>
      </c>
      <c r="M144" s="105" t="s">
        <v>132</v>
      </c>
      <c r="N144" s="115">
        <v>361027.34299999988</v>
      </c>
      <c r="O144" s="115">
        <v>361028</v>
      </c>
      <c r="P144" s="115">
        <f t="shared" si="4"/>
        <v>105007.98000000001</v>
      </c>
      <c r="Q144" s="115"/>
      <c r="R144" s="115"/>
      <c r="S144" s="115"/>
      <c r="T144" s="115">
        <v>39627</v>
      </c>
      <c r="U144" s="115">
        <v>65380.98</v>
      </c>
      <c r="V144" s="115"/>
      <c r="W144" s="115"/>
      <c r="X144" s="115"/>
      <c r="Y144" s="115"/>
      <c r="Z144" s="115"/>
      <c r="AA144" s="115"/>
      <c r="AB144" s="115"/>
    </row>
    <row r="145" spans="1:28" ht="36">
      <c r="A145" s="226">
        <v>30140173</v>
      </c>
      <c r="B145" s="101">
        <v>31</v>
      </c>
      <c r="C145" s="103" t="s">
        <v>30</v>
      </c>
      <c r="D145" s="103" t="s">
        <v>42</v>
      </c>
      <c r="E145" s="101" t="s">
        <v>132</v>
      </c>
      <c r="F145" s="108" t="s">
        <v>355</v>
      </c>
      <c r="G145" s="101" t="s">
        <v>97</v>
      </c>
      <c r="H145" s="101" t="s">
        <v>161</v>
      </c>
      <c r="I145" s="101">
        <v>2019</v>
      </c>
      <c r="J145" s="101">
        <v>10369</v>
      </c>
      <c r="K145" s="146">
        <v>14934765</v>
      </c>
      <c r="L145" s="101" t="s">
        <v>135</v>
      </c>
      <c r="M145" s="105" t="s">
        <v>132</v>
      </c>
      <c r="N145" s="115">
        <v>246000</v>
      </c>
      <c r="O145" s="115">
        <v>304166</v>
      </c>
      <c r="P145" s="115">
        <f t="shared" si="4"/>
        <v>6706.84</v>
      </c>
      <c r="Q145" s="115"/>
      <c r="R145" s="115"/>
      <c r="S145" s="115"/>
      <c r="T145" s="115"/>
      <c r="U145" s="115">
        <v>6706.84</v>
      </c>
      <c r="V145" s="115"/>
      <c r="W145" s="115"/>
      <c r="X145" s="115"/>
      <c r="Y145" s="115"/>
      <c r="Z145" s="115"/>
      <c r="AA145" s="115"/>
      <c r="AB145" s="115"/>
    </row>
    <row r="146" spans="1:28" ht="24">
      <c r="A146" s="226">
        <v>30001033</v>
      </c>
      <c r="B146" s="101">
        <v>31</v>
      </c>
      <c r="C146" s="103" t="s">
        <v>30</v>
      </c>
      <c r="D146" s="103" t="s">
        <v>42</v>
      </c>
      <c r="E146" s="101" t="s">
        <v>139</v>
      </c>
      <c r="F146" s="108" t="s">
        <v>356</v>
      </c>
      <c r="G146" s="101" t="s">
        <v>84</v>
      </c>
      <c r="H146" s="101" t="s">
        <v>147</v>
      </c>
      <c r="I146" s="101">
        <v>2019</v>
      </c>
      <c r="J146" s="101">
        <v>10497</v>
      </c>
      <c r="K146" s="146">
        <v>957764</v>
      </c>
      <c r="L146" s="101" t="s">
        <v>157</v>
      </c>
      <c r="M146" s="105" t="s">
        <v>340</v>
      </c>
      <c r="N146" s="115">
        <v>380000</v>
      </c>
      <c r="O146" s="115">
        <v>331571</v>
      </c>
      <c r="P146" s="115">
        <f t="shared" si="4"/>
        <v>0</v>
      </c>
      <c r="Q146" s="115"/>
      <c r="R146" s="115"/>
      <c r="S146" s="115"/>
      <c r="T146" s="115"/>
      <c r="U146" s="115"/>
      <c r="V146" s="115"/>
      <c r="W146" s="115"/>
      <c r="X146" s="115"/>
      <c r="Y146" s="115"/>
      <c r="Z146" s="115"/>
      <c r="AA146" s="115"/>
      <c r="AB146" s="115"/>
    </row>
    <row r="147" spans="1:28" ht="36">
      <c r="A147" s="226">
        <v>40008410</v>
      </c>
      <c r="B147" s="101">
        <v>33</v>
      </c>
      <c r="C147" s="103" t="s">
        <v>25</v>
      </c>
      <c r="D147" s="103" t="s">
        <v>357</v>
      </c>
      <c r="E147" s="101" t="s">
        <v>132</v>
      </c>
      <c r="F147" s="108" t="s">
        <v>358</v>
      </c>
      <c r="G147" s="101" t="s">
        <v>103</v>
      </c>
      <c r="H147" s="101" t="s">
        <v>150</v>
      </c>
      <c r="I147" s="101">
        <v>2018</v>
      </c>
      <c r="J147" s="101">
        <v>9771</v>
      </c>
      <c r="K147" s="146">
        <v>384104</v>
      </c>
      <c r="L147" s="101" t="s">
        <v>359</v>
      </c>
      <c r="M147" s="105" t="s">
        <v>132</v>
      </c>
      <c r="N147" s="115"/>
      <c r="O147" s="115"/>
      <c r="P147" s="115">
        <f t="shared" si="4"/>
        <v>0</v>
      </c>
      <c r="Q147" s="115"/>
      <c r="R147" s="115"/>
      <c r="S147" s="115"/>
      <c r="T147" s="115"/>
      <c r="U147" s="115"/>
      <c r="V147" s="115"/>
      <c r="W147" s="115"/>
      <c r="X147" s="115"/>
      <c r="Y147" s="115"/>
      <c r="Z147" s="115"/>
      <c r="AA147" s="115"/>
      <c r="AB147" s="115"/>
    </row>
    <row r="148" spans="1:28" ht="36">
      <c r="A148" s="226">
        <v>40032549</v>
      </c>
      <c r="B148" s="117">
        <v>33</v>
      </c>
      <c r="C148" s="120" t="s">
        <v>25</v>
      </c>
      <c r="D148" s="120" t="s">
        <v>357</v>
      </c>
      <c r="E148" s="117" t="s">
        <v>132</v>
      </c>
      <c r="F148" s="108" t="s">
        <v>360</v>
      </c>
      <c r="G148" s="117" t="s">
        <v>103</v>
      </c>
      <c r="H148" s="101" t="s">
        <v>144</v>
      </c>
      <c r="I148" s="101">
        <v>2022</v>
      </c>
      <c r="J148" s="101">
        <v>12617</v>
      </c>
      <c r="K148" s="146">
        <v>1234058</v>
      </c>
      <c r="L148" s="101" t="s">
        <v>359</v>
      </c>
      <c r="M148" s="105" t="s">
        <v>132</v>
      </c>
      <c r="N148" s="115"/>
      <c r="O148" s="115"/>
      <c r="P148" s="115">
        <f t="shared" si="4"/>
        <v>0</v>
      </c>
      <c r="Q148" s="115"/>
      <c r="R148" s="115"/>
      <c r="S148" s="115"/>
      <c r="T148" s="115"/>
      <c r="U148" s="115"/>
      <c r="V148" s="115"/>
      <c r="W148" s="115"/>
      <c r="X148" s="115"/>
      <c r="Y148" s="115"/>
      <c r="Z148" s="115"/>
      <c r="AA148" s="115"/>
      <c r="AB148" s="115"/>
    </row>
    <row r="149" spans="1:28" ht="36">
      <c r="A149" s="226">
        <v>40011478</v>
      </c>
      <c r="B149" s="101">
        <v>33</v>
      </c>
      <c r="C149" s="103" t="s">
        <v>25</v>
      </c>
      <c r="D149" s="103" t="s">
        <v>357</v>
      </c>
      <c r="E149" s="101" t="s">
        <v>132</v>
      </c>
      <c r="F149" s="108" t="s">
        <v>361</v>
      </c>
      <c r="G149" s="101" t="s">
        <v>103</v>
      </c>
      <c r="H149" s="101" t="s">
        <v>150</v>
      </c>
      <c r="I149" s="101">
        <v>2019</v>
      </c>
      <c r="J149" s="101">
        <v>10497</v>
      </c>
      <c r="K149" s="146">
        <v>2295967</v>
      </c>
      <c r="L149" s="101" t="s">
        <v>359</v>
      </c>
      <c r="M149" s="105" t="s">
        <v>362</v>
      </c>
      <c r="N149" s="115"/>
      <c r="O149" s="115"/>
      <c r="P149" s="115">
        <f t="shared" si="4"/>
        <v>0</v>
      </c>
      <c r="Q149" s="115"/>
      <c r="R149" s="115"/>
      <c r="S149" s="115"/>
      <c r="T149" s="115"/>
      <c r="U149" s="115"/>
      <c r="V149" s="115"/>
      <c r="W149" s="115"/>
      <c r="X149" s="115"/>
      <c r="Y149" s="115"/>
      <c r="Z149" s="115"/>
      <c r="AA149" s="115"/>
      <c r="AB149" s="115"/>
    </row>
    <row r="150" spans="1:28" ht="24">
      <c r="A150" s="107" t="s">
        <v>208</v>
      </c>
      <c r="B150" s="107">
        <v>33</v>
      </c>
      <c r="C150" s="103" t="s">
        <v>25</v>
      </c>
      <c r="D150" s="216" t="s">
        <v>357</v>
      </c>
      <c r="E150" s="101" t="s">
        <v>132</v>
      </c>
      <c r="F150" s="108" t="s">
        <v>359</v>
      </c>
      <c r="G150" s="101" t="s">
        <v>103</v>
      </c>
      <c r="H150" s="101" t="s">
        <v>208</v>
      </c>
      <c r="I150" s="101" t="s">
        <v>211</v>
      </c>
      <c r="J150" s="101" t="s">
        <v>211</v>
      </c>
      <c r="K150" s="117" t="s">
        <v>211</v>
      </c>
      <c r="L150" s="101" t="s">
        <v>359</v>
      </c>
      <c r="M150" s="105" t="s">
        <v>363</v>
      </c>
      <c r="N150" s="115"/>
      <c r="O150" s="115"/>
      <c r="P150" s="115">
        <f t="shared" si="4"/>
        <v>0</v>
      </c>
      <c r="Q150" s="115"/>
      <c r="R150" s="115"/>
      <c r="S150" s="115"/>
      <c r="T150" s="115"/>
      <c r="U150" s="115"/>
      <c r="V150" s="115"/>
      <c r="W150" s="115"/>
      <c r="X150" s="115"/>
      <c r="Y150" s="115"/>
      <c r="Z150" s="115"/>
      <c r="AA150" s="115"/>
      <c r="AB150" s="115"/>
    </row>
    <row r="151" spans="1:28" ht="36">
      <c r="A151" s="226">
        <v>40002463</v>
      </c>
      <c r="B151" s="101">
        <v>33</v>
      </c>
      <c r="C151" s="103" t="s">
        <v>25</v>
      </c>
      <c r="D151" s="103" t="s">
        <v>357</v>
      </c>
      <c r="E151" s="101" t="s">
        <v>132</v>
      </c>
      <c r="F151" s="108" t="s">
        <v>364</v>
      </c>
      <c r="G151" s="101" t="s">
        <v>103</v>
      </c>
      <c r="H151" s="101" t="s">
        <v>150</v>
      </c>
      <c r="I151" s="101">
        <v>2018</v>
      </c>
      <c r="J151" s="101">
        <v>9725</v>
      </c>
      <c r="K151" s="146">
        <v>412075</v>
      </c>
      <c r="L151" s="101" t="s">
        <v>359</v>
      </c>
      <c r="M151" s="105" t="s">
        <v>132</v>
      </c>
      <c r="N151" s="115"/>
      <c r="O151" s="115"/>
      <c r="P151" s="115">
        <f t="shared" si="4"/>
        <v>0</v>
      </c>
      <c r="Q151" s="115"/>
      <c r="R151" s="115"/>
      <c r="S151" s="115"/>
      <c r="T151" s="115"/>
      <c r="U151" s="115"/>
      <c r="V151" s="115"/>
      <c r="W151" s="115"/>
      <c r="X151" s="115"/>
      <c r="Y151" s="115"/>
      <c r="Z151" s="115"/>
      <c r="AA151" s="115"/>
      <c r="AB151" s="115"/>
    </row>
    <row r="152" spans="1:28" ht="24">
      <c r="A152" s="226">
        <v>40039417</v>
      </c>
      <c r="B152" s="117">
        <v>33</v>
      </c>
      <c r="C152" s="120" t="s">
        <v>25</v>
      </c>
      <c r="D152" s="120" t="s">
        <v>357</v>
      </c>
      <c r="E152" s="117" t="s">
        <v>132</v>
      </c>
      <c r="F152" s="108" t="s">
        <v>365</v>
      </c>
      <c r="G152" s="117" t="s">
        <v>103</v>
      </c>
      <c r="H152" s="101" t="s">
        <v>134</v>
      </c>
      <c r="I152" s="101">
        <v>2022</v>
      </c>
      <c r="J152" s="101">
        <v>12627</v>
      </c>
      <c r="K152" s="146">
        <v>376952</v>
      </c>
      <c r="L152" s="101" t="s">
        <v>359</v>
      </c>
      <c r="M152" s="105" t="s">
        <v>132</v>
      </c>
      <c r="N152" s="115"/>
      <c r="O152" s="115"/>
      <c r="P152" s="115">
        <f t="shared" si="4"/>
        <v>0</v>
      </c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</row>
    <row r="153" spans="1:28" ht="36">
      <c r="A153" s="226">
        <v>40029740</v>
      </c>
      <c r="B153" s="117">
        <v>33</v>
      </c>
      <c r="C153" s="120" t="s">
        <v>25</v>
      </c>
      <c r="D153" s="120" t="s">
        <v>357</v>
      </c>
      <c r="E153" s="117" t="s">
        <v>132</v>
      </c>
      <c r="F153" s="108" t="s">
        <v>366</v>
      </c>
      <c r="G153" s="117" t="s">
        <v>103</v>
      </c>
      <c r="H153" s="101" t="s">
        <v>150</v>
      </c>
      <c r="I153" s="101">
        <v>2022</v>
      </c>
      <c r="J153" s="101">
        <v>12617</v>
      </c>
      <c r="K153" s="146">
        <v>382679</v>
      </c>
      <c r="L153" s="101" t="s">
        <v>359</v>
      </c>
      <c r="M153" s="105" t="s">
        <v>132</v>
      </c>
      <c r="N153" s="115"/>
      <c r="O153" s="115"/>
      <c r="P153" s="115">
        <f t="shared" si="4"/>
        <v>0</v>
      </c>
      <c r="Q153" s="115"/>
      <c r="R153" s="115"/>
      <c r="S153" s="115"/>
      <c r="T153" s="115"/>
      <c r="U153" s="115"/>
      <c r="V153" s="115"/>
      <c r="W153" s="115"/>
      <c r="X153" s="115"/>
      <c r="Y153" s="115"/>
      <c r="Z153" s="115"/>
      <c r="AA153" s="115"/>
      <c r="AB153" s="115"/>
    </row>
    <row r="154" spans="1:28" ht="48">
      <c r="A154" s="107">
        <v>2401010</v>
      </c>
      <c r="B154" s="107">
        <v>24</v>
      </c>
      <c r="C154" s="103" t="s">
        <v>25</v>
      </c>
      <c r="D154" s="101" t="s">
        <v>367</v>
      </c>
      <c r="E154" s="101" t="s">
        <v>132</v>
      </c>
      <c r="F154" s="108" t="s">
        <v>368</v>
      </c>
      <c r="G154" s="101" t="s">
        <v>103</v>
      </c>
      <c r="H154" s="101" t="s">
        <v>213</v>
      </c>
      <c r="I154" s="101">
        <v>2011</v>
      </c>
      <c r="J154" s="101" t="s">
        <v>369</v>
      </c>
      <c r="K154" s="117" t="s">
        <v>211</v>
      </c>
      <c r="L154" s="101" t="s">
        <v>370</v>
      </c>
      <c r="M154" s="105" t="s">
        <v>132</v>
      </c>
      <c r="N154" s="115">
        <v>2000000</v>
      </c>
      <c r="O154" s="115"/>
      <c r="P154" s="115">
        <f t="shared" si="4"/>
        <v>0</v>
      </c>
      <c r="Q154" s="115"/>
      <c r="R154" s="115"/>
      <c r="S154" s="115"/>
      <c r="T154" s="115"/>
      <c r="U154" s="115"/>
      <c r="V154" s="115"/>
      <c r="W154" s="115"/>
      <c r="X154" s="115"/>
      <c r="Y154" s="115"/>
      <c r="Z154" s="115"/>
      <c r="AA154" s="115"/>
      <c r="AB154" s="115"/>
    </row>
    <row r="155" spans="1:28" ht="24">
      <c r="A155" s="64">
        <v>2401300</v>
      </c>
      <c r="B155" s="107">
        <v>24</v>
      </c>
      <c r="C155" s="103" t="s">
        <v>25</v>
      </c>
      <c r="D155" s="101">
        <v>300</v>
      </c>
      <c r="E155" s="101" t="s">
        <v>132</v>
      </c>
      <c r="F155" s="108" t="s">
        <v>371</v>
      </c>
      <c r="G155" s="101" t="s">
        <v>103</v>
      </c>
      <c r="H155" s="101" t="s">
        <v>134</v>
      </c>
      <c r="I155" s="101">
        <v>2024</v>
      </c>
      <c r="J155" s="101" t="s">
        <v>211</v>
      </c>
      <c r="K155" s="117" t="s">
        <v>211</v>
      </c>
      <c r="L155" s="101" t="s">
        <v>370</v>
      </c>
      <c r="M155" s="105" t="s">
        <v>132</v>
      </c>
      <c r="N155" s="115">
        <v>5857447</v>
      </c>
      <c r="O155" s="115">
        <v>4373039.7879999997</v>
      </c>
      <c r="P155" s="277">
        <f t="shared" si="4"/>
        <v>921131.37199999997</v>
      </c>
      <c r="Q155" s="115"/>
      <c r="R155" s="115"/>
      <c r="S155" s="115">
        <v>217996.58900000001</v>
      </c>
      <c r="T155" s="115">
        <v>178510.17600000001</v>
      </c>
      <c r="U155" s="277">
        <v>25649</v>
      </c>
      <c r="V155" s="115">
        <v>498975.60700000002</v>
      </c>
      <c r="W155" s="115"/>
      <c r="X155" s="115"/>
      <c r="Y155" s="115"/>
      <c r="Z155" s="115"/>
      <c r="AA155" s="115"/>
      <c r="AB155" s="115"/>
    </row>
    <row r="156" spans="1:28" ht="24">
      <c r="A156" s="107">
        <v>2403300</v>
      </c>
      <c r="B156" s="107">
        <v>24</v>
      </c>
      <c r="C156" s="103" t="s">
        <v>27</v>
      </c>
      <c r="D156" s="101">
        <v>300</v>
      </c>
      <c r="E156" s="101" t="s">
        <v>132</v>
      </c>
      <c r="F156" s="108" t="s">
        <v>372</v>
      </c>
      <c r="G156" s="101" t="s">
        <v>103</v>
      </c>
      <c r="H156" s="101" t="s">
        <v>134</v>
      </c>
      <c r="I156" s="101">
        <v>2024</v>
      </c>
      <c r="J156" s="101" t="s">
        <v>211</v>
      </c>
      <c r="K156" s="117" t="s">
        <v>211</v>
      </c>
      <c r="L156" s="101" t="s">
        <v>370</v>
      </c>
      <c r="M156" s="105" t="s">
        <v>132</v>
      </c>
      <c r="N156" s="115">
        <v>2000000</v>
      </c>
      <c r="O156" s="115">
        <v>770048</v>
      </c>
      <c r="P156" s="277">
        <f t="shared" si="4"/>
        <v>164818.29599999997</v>
      </c>
      <c r="Q156" s="115"/>
      <c r="R156" s="115"/>
      <c r="S156" s="115"/>
      <c r="T156" s="115">
        <v>67847.303</v>
      </c>
      <c r="U156" s="277">
        <v>68966.182000000001</v>
      </c>
      <c r="V156" s="115">
        <v>28004.811000000002</v>
      </c>
      <c r="W156" s="115"/>
      <c r="X156" s="115"/>
      <c r="Y156" s="115"/>
      <c r="Z156" s="115"/>
      <c r="AA156" s="115"/>
      <c r="AB156" s="277"/>
    </row>
    <row r="157" spans="1:28" ht="24">
      <c r="A157" s="226">
        <v>40007897</v>
      </c>
      <c r="B157" s="107">
        <v>29</v>
      </c>
      <c r="C157" s="103" t="s">
        <v>27</v>
      </c>
      <c r="D157" s="103" t="s">
        <v>373</v>
      </c>
      <c r="E157" s="101" t="s">
        <v>132</v>
      </c>
      <c r="F157" s="108" t="s">
        <v>374</v>
      </c>
      <c r="G157" s="101" t="s">
        <v>86</v>
      </c>
      <c r="H157" s="101" t="s">
        <v>213</v>
      </c>
      <c r="I157" s="101">
        <v>2018</v>
      </c>
      <c r="J157" s="101">
        <v>9636</v>
      </c>
      <c r="K157" s="142">
        <v>278501</v>
      </c>
      <c r="L157" s="101" t="s">
        <v>195</v>
      </c>
      <c r="M157" s="105" t="s">
        <v>152</v>
      </c>
      <c r="N157" s="115">
        <v>120000</v>
      </c>
      <c r="O157" s="115">
        <v>1000</v>
      </c>
      <c r="P157" s="115">
        <f t="shared" si="4"/>
        <v>0</v>
      </c>
      <c r="Q157" s="115"/>
      <c r="R157" s="115"/>
      <c r="S157" s="115"/>
      <c r="T157" s="115"/>
      <c r="U157" s="115"/>
      <c r="V157" s="115"/>
      <c r="W157" s="115"/>
      <c r="X157" s="115"/>
      <c r="Y157" s="115"/>
      <c r="Z157" s="115"/>
      <c r="AA157" s="115"/>
      <c r="AB157" s="115"/>
    </row>
    <row r="158" spans="1:28" ht="24">
      <c r="A158" s="226">
        <v>40018403</v>
      </c>
      <c r="B158" s="101">
        <v>29</v>
      </c>
      <c r="C158" s="103" t="s">
        <v>27</v>
      </c>
      <c r="D158" s="103" t="s">
        <v>375</v>
      </c>
      <c r="E158" s="101" t="s">
        <v>132</v>
      </c>
      <c r="F158" s="108" t="s">
        <v>376</v>
      </c>
      <c r="G158" s="101" t="s">
        <v>83</v>
      </c>
      <c r="H158" s="101" t="s">
        <v>147</v>
      </c>
      <c r="I158" s="101">
        <v>2020</v>
      </c>
      <c r="J158" s="101">
        <v>10686</v>
      </c>
      <c r="K158" s="146">
        <v>146911</v>
      </c>
      <c r="L158" s="101" t="s">
        <v>173</v>
      </c>
      <c r="M158" s="105" t="s">
        <v>145</v>
      </c>
      <c r="N158" s="115">
        <v>132055.49</v>
      </c>
      <c r="O158" s="115">
        <v>98347</v>
      </c>
      <c r="P158" s="115">
        <f t="shared" si="4"/>
        <v>98346.373000000007</v>
      </c>
      <c r="Q158" s="115"/>
      <c r="R158" s="115"/>
      <c r="S158" s="115"/>
      <c r="T158" s="115"/>
      <c r="U158" s="115">
        <v>98346.373000000007</v>
      </c>
      <c r="V158" s="115"/>
      <c r="W158" s="115"/>
      <c r="X158" s="115"/>
      <c r="Y158" s="115"/>
      <c r="Z158" s="115"/>
      <c r="AA158" s="115"/>
      <c r="AB158" s="115"/>
    </row>
    <row r="159" spans="1:28" ht="36">
      <c r="A159" s="226">
        <v>40016437</v>
      </c>
      <c r="B159" s="101">
        <v>29</v>
      </c>
      <c r="C159" s="103" t="s">
        <v>27</v>
      </c>
      <c r="D159" s="103" t="s">
        <v>377</v>
      </c>
      <c r="E159" s="101" t="s">
        <v>132</v>
      </c>
      <c r="F159" s="108" t="s">
        <v>378</v>
      </c>
      <c r="G159" s="101" t="s">
        <v>91</v>
      </c>
      <c r="H159" s="101" t="s">
        <v>147</v>
      </c>
      <c r="I159" s="101">
        <v>2019</v>
      </c>
      <c r="J159" s="101">
        <v>10340</v>
      </c>
      <c r="K159" s="146">
        <v>336706</v>
      </c>
      <c r="L159" s="101" t="s">
        <v>173</v>
      </c>
      <c r="M159" s="105" t="s">
        <v>145</v>
      </c>
      <c r="N159" s="115">
        <v>256579.46999999997</v>
      </c>
      <c r="O159" s="115">
        <v>196693</v>
      </c>
      <c r="P159" s="115">
        <f t="shared" si="4"/>
        <v>196692.74600000001</v>
      </c>
      <c r="Q159" s="115"/>
      <c r="R159" s="115"/>
      <c r="S159" s="115"/>
      <c r="T159" s="115"/>
      <c r="U159" s="115">
        <v>196692.74600000001</v>
      </c>
      <c r="V159" s="115"/>
      <c r="W159" s="115"/>
      <c r="X159" s="115"/>
      <c r="Y159" s="115"/>
      <c r="Z159" s="115"/>
      <c r="AA159" s="115"/>
      <c r="AB159" s="115"/>
    </row>
    <row r="160" spans="1:28" ht="36">
      <c r="A160" s="226">
        <v>40017099</v>
      </c>
      <c r="B160" s="101">
        <v>29</v>
      </c>
      <c r="C160" s="103" t="s">
        <v>27</v>
      </c>
      <c r="D160" s="103" t="s">
        <v>379</v>
      </c>
      <c r="E160" s="101" t="s">
        <v>132</v>
      </c>
      <c r="F160" s="108" t="s">
        <v>380</v>
      </c>
      <c r="G160" s="101" t="s">
        <v>97</v>
      </c>
      <c r="H160" s="101" t="s">
        <v>147</v>
      </c>
      <c r="I160" s="101">
        <v>2019</v>
      </c>
      <c r="J160" s="101">
        <v>10497</v>
      </c>
      <c r="K160" s="146">
        <v>220037</v>
      </c>
      <c r="L160" s="101" t="s">
        <v>173</v>
      </c>
      <c r="M160" s="105" t="s">
        <v>145</v>
      </c>
      <c r="N160" s="115">
        <v>224798.73499999999</v>
      </c>
      <c r="O160" s="115">
        <v>196693</v>
      </c>
      <c r="P160" s="115">
        <f t="shared" si="4"/>
        <v>196692.74600000001</v>
      </c>
      <c r="Q160" s="115"/>
      <c r="R160" s="115"/>
      <c r="S160" s="115"/>
      <c r="T160" s="115"/>
      <c r="U160" s="115">
        <v>196692.74600000001</v>
      </c>
      <c r="V160" s="115"/>
      <c r="W160" s="115"/>
      <c r="X160" s="115"/>
      <c r="Y160" s="115"/>
      <c r="Z160" s="115"/>
      <c r="AA160" s="115"/>
      <c r="AB160" s="115"/>
    </row>
    <row r="161" spans="1:28" ht="24">
      <c r="A161" s="226">
        <v>40025574</v>
      </c>
      <c r="B161" s="101">
        <v>29</v>
      </c>
      <c r="C161" s="103" t="s">
        <v>27</v>
      </c>
      <c r="D161" s="103" t="s">
        <v>381</v>
      </c>
      <c r="E161" s="101" t="s">
        <v>132</v>
      </c>
      <c r="F161" s="108" t="s">
        <v>382</v>
      </c>
      <c r="G161" s="101" t="s">
        <v>90</v>
      </c>
      <c r="H161" s="101" t="s">
        <v>147</v>
      </c>
      <c r="I161" s="101">
        <v>2021</v>
      </c>
      <c r="J161" s="101">
        <v>11453</v>
      </c>
      <c r="K161" s="146">
        <v>82367</v>
      </c>
      <c r="L161" s="101" t="s">
        <v>173</v>
      </c>
      <c r="M161" s="105" t="s">
        <v>145</v>
      </c>
      <c r="N161" s="115">
        <v>98346.373999999996</v>
      </c>
      <c r="O161" s="115">
        <v>98347</v>
      </c>
      <c r="P161" s="115">
        <f t="shared" ref="P161:P220" si="5">SUM(Q161:AB161)</f>
        <v>98346.373000000007</v>
      </c>
      <c r="Q161" s="115"/>
      <c r="R161" s="115"/>
      <c r="S161" s="115"/>
      <c r="T161" s="115"/>
      <c r="U161" s="115">
        <v>98346.373000000007</v>
      </c>
      <c r="V161" s="115"/>
      <c r="W161" s="115"/>
      <c r="X161" s="115"/>
      <c r="Y161" s="115"/>
      <c r="Z161" s="115"/>
      <c r="AA161" s="115"/>
      <c r="AB161" s="115"/>
    </row>
    <row r="162" spans="1:28" ht="24">
      <c r="A162" s="226">
        <v>40027272</v>
      </c>
      <c r="B162" s="101">
        <v>29</v>
      </c>
      <c r="C162" s="103" t="s">
        <v>27</v>
      </c>
      <c r="D162" s="103" t="s">
        <v>383</v>
      </c>
      <c r="E162" s="101" t="s">
        <v>132</v>
      </c>
      <c r="F162" s="108" t="s">
        <v>384</v>
      </c>
      <c r="G162" s="101" t="s">
        <v>87</v>
      </c>
      <c r="H162" s="101" t="s">
        <v>147</v>
      </c>
      <c r="I162" s="101">
        <v>2021</v>
      </c>
      <c r="J162" s="101">
        <v>11452</v>
      </c>
      <c r="K162" s="146">
        <v>87464</v>
      </c>
      <c r="L162" s="101" t="s">
        <v>173</v>
      </c>
      <c r="M162" s="105" t="s">
        <v>145</v>
      </c>
      <c r="N162" s="115">
        <v>98346.373999999996</v>
      </c>
      <c r="O162" s="115">
        <v>98347</v>
      </c>
      <c r="P162" s="115">
        <f t="shared" si="5"/>
        <v>98346.373000000007</v>
      </c>
      <c r="Q162" s="115"/>
      <c r="R162" s="115"/>
      <c r="S162" s="115"/>
      <c r="T162" s="115"/>
      <c r="U162" s="115">
        <v>98346.373000000007</v>
      </c>
      <c r="V162" s="115"/>
      <c r="W162" s="115"/>
      <c r="X162" s="115"/>
      <c r="Y162" s="115"/>
      <c r="Z162" s="115"/>
      <c r="AA162" s="115"/>
      <c r="AB162" s="115"/>
    </row>
    <row r="163" spans="1:28" ht="36">
      <c r="A163" s="226">
        <v>40029725</v>
      </c>
      <c r="B163" s="101">
        <v>29</v>
      </c>
      <c r="C163" s="103" t="s">
        <v>27</v>
      </c>
      <c r="D163" s="103" t="s">
        <v>385</v>
      </c>
      <c r="E163" s="101" t="s">
        <v>132</v>
      </c>
      <c r="F163" s="108" t="s">
        <v>386</v>
      </c>
      <c r="G163" s="101" t="s">
        <v>103</v>
      </c>
      <c r="H163" s="101" t="s">
        <v>150</v>
      </c>
      <c r="I163" s="101">
        <v>2021</v>
      </c>
      <c r="J163" s="101">
        <v>11454</v>
      </c>
      <c r="K163" s="146">
        <v>1115506</v>
      </c>
      <c r="L163" s="270" t="s">
        <v>387</v>
      </c>
      <c r="M163" s="105" t="s">
        <v>166</v>
      </c>
      <c r="N163" s="115"/>
      <c r="O163" s="115"/>
      <c r="P163" s="115">
        <f t="shared" si="5"/>
        <v>0</v>
      </c>
      <c r="Q163" s="115"/>
      <c r="R163" s="115"/>
      <c r="S163" s="115"/>
      <c r="T163" s="115"/>
      <c r="U163" s="115"/>
      <c r="V163" s="115"/>
      <c r="W163" s="115"/>
      <c r="X163" s="115"/>
      <c r="Y163" s="115"/>
      <c r="Z163" s="115"/>
      <c r="AA163" s="115"/>
      <c r="AB163" s="115"/>
    </row>
    <row r="164" spans="1:28" ht="48">
      <c r="A164" s="226">
        <v>30100129</v>
      </c>
      <c r="B164" s="101">
        <v>31</v>
      </c>
      <c r="C164" s="103" t="s">
        <v>30</v>
      </c>
      <c r="D164" s="103" t="s">
        <v>388</v>
      </c>
      <c r="E164" s="101" t="s">
        <v>132</v>
      </c>
      <c r="F164" s="108" t="s">
        <v>389</v>
      </c>
      <c r="G164" s="117" t="s">
        <v>87</v>
      </c>
      <c r="H164" s="101" t="s">
        <v>147</v>
      </c>
      <c r="I164" s="101">
        <v>2023</v>
      </c>
      <c r="J164" s="101">
        <v>13693</v>
      </c>
      <c r="K164" s="146">
        <v>1265812</v>
      </c>
      <c r="L164" s="101" t="s">
        <v>135</v>
      </c>
      <c r="M164" s="105" t="s">
        <v>192</v>
      </c>
      <c r="N164" s="115">
        <v>126000</v>
      </c>
      <c r="O164" s="115">
        <v>76114</v>
      </c>
      <c r="P164" s="115">
        <f t="shared" si="5"/>
        <v>0</v>
      </c>
      <c r="Q164" s="115"/>
      <c r="R164" s="115"/>
      <c r="S164" s="115"/>
      <c r="T164" s="115"/>
      <c r="U164" s="115"/>
      <c r="V164" s="115"/>
      <c r="W164" s="115"/>
      <c r="X164" s="115"/>
      <c r="Y164" s="115"/>
      <c r="Z164" s="115"/>
      <c r="AA164" s="115"/>
      <c r="AB164" s="115"/>
    </row>
    <row r="165" spans="1:28" ht="24">
      <c r="A165" s="226">
        <v>40040991</v>
      </c>
      <c r="B165" s="117">
        <v>33</v>
      </c>
      <c r="C165" s="120" t="s">
        <v>25</v>
      </c>
      <c r="D165" s="120" t="s">
        <v>390</v>
      </c>
      <c r="E165" s="117" t="s">
        <v>132</v>
      </c>
      <c r="F165" s="108" t="s">
        <v>391</v>
      </c>
      <c r="G165" s="117" t="s">
        <v>103</v>
      </c>
      <c r="H165" s="117" t="s">
        <v>134</v>
      </c>
      <c r="I165" s="117">
        <v>2022</v>
      </c>
      <c r="J165" s="117">
        <v>12111</v>
      </c>
      <c r="K165" s="146">
        <v>135000</v>
      </c>
      <c r="L165" s="101" t="s">
        <v>392</v>
      </c>
      <c r="M165" s="105" t="s">
        <v>132</v>
      </c>
      <c r="N165" s="115">
        <v>17224</v>
      </c>
      <c r="O165" s="115">
        <v>17224</v>
      </c>
      <c r="P165" s="115">
        <f t="shared" si="5"/>
        <v>6958.0569999999998</v>
      </c>
      <c r="Q165" s="115"/>
      <c r="R165" s="115"/>
      <c r="S165" s="115"/>
      <c r="T165" s="115"/>
      <c r="U165" s="115">
        <v>6958.0569999999998</v>
      </c>
      <c r="V165" s="115"/>
      <c r="W165" s="115"/>
      <c r="X165" s="115"/>
      <c r="Y165" s="115"/>
      <c r="Z165" s="115"/>
      <c r="AA165" s="115"/>
      <c r="AB165" s="277"/>
    </row>
    <row r="166" spans="1:28" ht="36">
      <c r="A166" s="226">
        <v>40040995</v>
      </c>
      <c r="B166" s="117">
        <v>33</v>
      </c>
      <c r="C166" s="120" t="s">
        <v>25</v>
      </c>
      <c r="D166" s="120" t="s">
        <v>393</v>
      </c>
      <c r="E166" s="117" t="s">
        <v>132</v>
      </c>
      <c r="F166" s="108" t="s">
        <v>394</v>
      </c>
      <c r="G166" s="117" t="s">
        <v>103</v>
      </c>
      <c r="H166" s="117" t="s">
        <v>185</v>
      </c>
      <c r="I166" s="117">
        <v>2022</v>
      </c>
      <c r="J166" s="117">
        <v>12111</v>
      </c>
      <c r="K166" s="146">
        <v>108000</v>
      </c>
      <c r="L166" s="101" t="s">
        <v>395</v>
      </c>
      <c r="M166" s="105" t="s">
        <v>132</v>
      </c>
      <c r="N166" s="115"/>
      <c r="O166" s="115"/>
      <c r="P166" s="115">
        <f t="shared" si="5"/>
        <v>0</v>
      </c>
      <c r="Q166" s="115"/>
      <c r="R166" s="115"/>
      <c r="S166" s="115"/>
      <c r="T166" s="115"/>
      <c r="U166" s="115"/>
      <c r="V166" s="115"/>
      <c r="W166" s="115"/>
      <c r="X166" s="115"/>
      <c r="Y166" s="115"/>
      <c r="Z166" s="115"/>
      <c r="AA166" s="115"/>
      <c r="AB166" s="115"/>
    </row>
    <row r="167" spans="1:28" ht="24">
      <c r="A167" s="226">
        <v>40041001</v>
      </c>
      <c r="B167" s="117">
        <v>33</v>
      </c>
      <c r="C167" s="120" t="s">
        <v>25</v>
      </c>
      <c r="D167" s="120" t="s">
        <v>396</v>
      </c>
      <c r="E167" s="117" t="s">
        <v>132</v>
      </c>
      <c r="F167" s="108" t="s">
        <v>397</v>
      </c>
      <c r="G167" s="117" t="s">
        <v>103</v>
      </c>
      <c r="H167" s="117" t="s">
        <v>134</v>
      </c>
      <c r="I167" s="117">
        <v>2022</v>
      </c>
      <c r="J167" s="117">
        <v>12111</v>
      </c>
      <c r="K167" s="146">
        <v>134540</v>
      </c>
      <c r="L167" s="101" t="s">
        <v>398</v>
      </c>
      <c r="M167" s="105" t="s">
        <v>166</v>
      </c>
      <c r="N167" s="115"/>
      <c r="O167" s="115"/>
      <c r="P167" s="115">
        <f t="shared" si="5"/>
        <v>0</v>
      </c>
      <c r="Q167" s="115"/>
      <c r="R167" s="115"/>
      <c r="S167" s="115"/>
      <c r="T167" s="115"/>
      <c r="U167" s="115"/>
      <c r="V167" s="115"/>
      <c r="W167" s="115"/>
      <c r="X167" s="115"/>
      <c r="Y167" s="115"/>
      <c r="Z167" s="115"/>
      <c r="AA167" s="115"/>
      <c r="AB167" s="115"/>
    </row>
    <row r="168" spans="1:28" ht="24">
      <c r="A168" s="226">
        <v>40041010</v>
      </c>
      <c r="B168" s="117">
        <v>33</v>
      </c>
      <c r="C168" s="120" t="s">
        <v>25</v>
      </c>
      <c r="D168" s="120" t="s">
        <v>399</v>
      </c>
      <c r="E168" s="117" t="s">
        <v>132</v>
      </c>
      <c r="F168" s="108" t="s">
        <v>400</v>
      </c>
      <c r="G168" s="117" t="s">
        <v>103</v>
      </c>
      <c r="H168" s="117" t="s">
        <v>185</v>
      </c>
      <c r="I168" s="117">
        <v>2022</v>
      </c>
      <c r="J168" s="117">
        <v>12111</v>
      </c>
      <c r="K168" s="146">
        <v>135000</v>
      </c>
      <c r="L168" s="101" t="s">
        <v>401</v>
      </c>
      <c r="M168" s="105" t="s">
        <v>132</v>
      </c>
      <c r="N168" s="115">
        <v>13500</v>
      </c>
      <c r="O168" s="115">
        <v>13500</v>
      </c>
      <c r="P168" s="115">
        <f t="shared" si="5"/>
        <v>0</v>
      </c>
      <c r="Q168" s="115"/>
      <c r="R168" s="115"/>
      <c r="S168" s="115"/>
      <c r="T168" s="115"/>
      <c r="U168" s="115"/>
      <c r="V168" s="115"/>
      <c r="W168" s="115"/>
      <c r="X168" s="115"/>
      <c r="Y168" s="115"/>
      <c r="Z168" s="115"/>
      <c r="AA168" s="115"/>
      <c r="AB168" s="115"/>
    </row>
    <row r="169" spans="1:28" ht="36">
      <c r="A169" s="226">
        <v>40041017</v>
      </c>
      <c r="B169" s="117">
        <v>33</v>
      </c>
      <c r="C169" s="120" t="s">
        <v>25</v>
      </c>
      <c r="D169" s="120" t="s">
        <v>402</v>
      </c>
      <c r="E169" s="117" t="s">
        <v>132</v>
      </c>
      <c r="F169" s="108" t="s">
        <v>403</v>
      </c>
      <c r="G169" s="117" t="s">
        <v>103</v>
      </c>
      <c r="H169" s="117" t="s">
        <v>404</v>
      </c>
      <c r="I169" s="117">
        <v>2022</v>
      </c>
      <c r="J169" s="117">
        <v>12111</v>
      </c>
      <c r="K169" s="146">
        <v>76310</v>
      </c>
      <c r="L169" s="101" t="s">
        <v>395</v>
      </c>
      <c r="M169" s="105" t="s">
        <v>132</v>
      </c>
      <c r="N169" s="115"/>
      <c r="O169" s="115"/>
      <c r="P169" s="115">
        <f t="shared" si="5"/>
        <v>0</v>
      </c>
      <c r="Q169" s="115"/>
      <c r="R169" s="115"/>
      <c r="S169" s="115"/>
      <c r="T169" s="115"/>
      <c r="U169" s="115"/>
      <c r="V169" s="115"/>
      <c r="W169" s="115"/>
      <c r="X169" s="115"/>
      <c r="Y169" s="115"/>
      <c r="Z169" s="115"/>
      <c r="AA169" s="115"/>
      <c r="AB169" s="115"/>
    </row>
    <row r="170" spans="1:28" ht="36">
      <c r="A170" s="226">
        <v>40041018</v>
      </c>
      <c r="B170" s="117">
        <v>33</v>
      </c>
      <c r="C170" s="120" t="s">
        <v>25</v>
      </c>
      <c r="D170" s="120" t="s">
        <v>405</v>
      </c>
      <c r="E170" s="117" t="s">
        <v>132</v>
      </c>
      <c r="F170" s="108" t="s">
        <v>406</v>
      </c>
      <c r="G170" s="117" t="s">
        <v>103</v>
      </c>
      <c r="H170" s="117" t="s">
        <v>310</v>
      </c>
      <c r="I170" s="117">
        <v>2022</v>
      </c>
      <c r="J170" s="117">
        <v>12111</v>
      </c>
      <c r="K170" s="146">
        <v>108000</v>
      </c>
      <c r="L170" s="101" t="s">
        <v>395</v>
      </c>
      <c r="M170" s="105" t="s">
        <v>166</v>
      </c>
      <c r="N170" s="115"/>
      <c r="O170" s="115"/>
      <c r="P170" s="115">
        <f t="shared" si="5"/>
        <v>0</v>
      </c>
      <c r="Q170" s="115"/>
      <c r="R170" s="115"/>
      <c r="S170" s="115"/>
      <c r="T170" s="115"/>
      <c r="U170" s="115"/>
      <c r="V170" s="115"/>
      <c r="W170" s="115"/>
      <c r="X170" s="115"/>
      <c r="Y170" s="115"/>
      <c r="Z170" s="115"/>
      <c r="AA170" s="115"/>
      <c r="AB170" s="115"/>
    </row>
    <row r="171" spans="1:28" ht="36">
      <c r="A171" s="226">
        <v>40041020</v>
      </c>
      <c r="B171" s="117">
        <v>33</v>
      </c>
      <c r="C171" s="120" t="s">
        <v>25</v>
      </c>
      <c r="D171" s="120" t="s">
        <v>407</v>
      </c>
      <c r="E171" s="117" t="s">
        <v>132</v>
      </c>
      <c r="F171" s="108" t="s">
        <v>408</v>
      </c>
      <c r="G171" s="117" t="s">
        <v>103</v>
      </c>
      <c r="H171" s="101" t="s">
        <v>276</v>
      </c>
      <c r="I171" s="117">
        <v>2022</v>
      </c>
      <c r="J171" s="117">
        <v>12111</v>
      </c>
      <c r="K171" s="146">
        <v>135000</v>
      </c>
      <c r="L171" s="119" t="s">
        <v>401</v>
      </c>
      <c r="M171" s="105" t="s">
        <v>166</v>
      </c>
      <c r="N171" s="115"/>
      <c r="O171" s="115"/>
      <c r="P171" s="115">
        <f t="shared" si="5"/>
        <v>0</v>
      </c>
      <c r="Q171" s="115"/>
      <c r="R171" s="115"/>
      <c r="S171" s="115"/>
      <c r="T171" s="115"/>
      <c r="U171" s="115"/>
      <c r="V171" s="115"/>
      <c r="W171" s="115"/>
      <c r="X171" s="115"/>
      <c r="Y171" s="115"/>
      <c r="Z171" s="115"/>
      <c r="AA171" s="115"/>
      <c r="AB171" s="115"/>
    </row>
    <row r="172" spans="1:28" ht="36">
      <c r="A172" s="226">
        <v>40041022</v>
      </c>
      <c r="B172" s="117">
        <v>33</v>
      </c>
      <c r="C172" s="120" t="s">
        <v>25</v>
      </c>
      <c r="D172" s="120" t="s">
        <v>409</v>
      </c>
      <c r="E172" s="117" t="s">
        <v>132</v>
      </c>
      <c r="F172" s="108" t="s">
        <v>410</v>
      </c>
      <c r="G172" s="117" t="s">
        <v>103</v>
      </c>
      <c r="H172" s="101" t="s">
        <v>310</v>
      </c>
      <c r="I172" s="117">
        <v>2022</v>
      </c>
      <c r="J172" s="117">
        <v>12111</v>
      </c>
      <c r="K172" s="146">
        <v>81710</v>
      </c>
      <c r="L172" s="273" t="s">
        <v>398</v>
      </c>
      <c r="M172" s="105" t="s">
        <v>132</v>
      </c>
      <c r="N172" s="115"/>
      <c r="O172" s="115"/>
      <c r="P172" s="115">
        <f t="shared" si="5"/>
        <v>0</v>
      </c>
      <c r="Q172" s="115"/>
      <c r="R172" s="115"/>
      <c r="S172" s="115"/>
      <c r="T172" s="115"/>
      <c r="U172" s="115"/>
      <c r="V172" s="115"/>
      <c r="W172" s="115"/>
      <c r="X172" s="115"/>
      <c r="Y172" s="115"/>
      <c r="Z172" s="115"/>
      <c r="AA172" s="115"/>
      <c r="AB172" s="115"/>
    </row>
    <row r="173" spans="1:28" ht="36">
      <c r="A173" s="226">
        <v>40041026</v>
      </c>
      <c r="B173" s="117">
        <v>33</v>
      </c>
      <c r="C173" s="120" t="s">
        <v>25</v>
      </c>
      <c r="D173" s="120" t="s">
        <v>411</v>
      </c>
      <c r="E173" s="117" t="s">
        <v>132</v>
      </c>
      <c r="F173" s="108" t="s">
        <v>412</v>
      </c>
      <c r="G173" s="117" t="s">
        <v>103</v>
      </c>
      <c r="H173" s="101" t="s">
        <v>310</v>
      </c>
      <c r="I173" s="117">
        <v>2022</v>
      </c>
      <c r="J173" s="117">
        <v>12111</v>
      </c>
      <c r="K173" s="146">
        <v>135000</v>
      </c>
      <c r="L173" s="273" t="s">
        <v>398</v>
      </c>
      <c r="M173" s="105" t="s">
        <v>166</v>
      </c>
      <c r="N173" s="115"/>
      <c r="O173" s="115"/>
      <c r="P173" s="115">
        <f t="shared" si="5"/>
        <v>0</v>
      </c>
      <c r="Q173" s="115"/>
      <c r="R173" s="115"/>
      <c r="S173" s="115"/>
      <c r="T173" s="115"/>
      <c r="U173" s="115"/>
      <c r="V173" s="115"/>
      <c r="W173" s="115"/>
      <c r="X173" s="115"/>
      <c r="Y173" s="115"/>
      <c r="Z173" s="115"/>
      <c r="AA173" s="115"/>
      <c r="AB173" s="115"/>
    </row>
    <row r="174" spans="1:28" ht="24">
      <c r="A174" s="226">
        <v>40041028</v>
      </c>
      <c r="B174" s="117">
        <v>33</v>
      </c>
      <c r="C174" s="120" t="s">
        <v>25</v>
      </c>
      <c r="D174" s="120" t="s">
        <v>413</v>
      </c>
      <c r="E174" s="117" t="s">
        <v>132</v>
      </c>
      <c r="F174" s="108" t="s">
        <v>414</v>
      </c>
      <c r="G174" s="117" t="s">
        <v>103</v>
      </c>
      <c r="H174" s="101" t="s">
        <v>310</v>
      </c>
      <c r="I174" s="117">
        <v>2022</v>
      </c>
      <c r="J174" s="117">
        <v>12111</v>
      </c>
      <c r="K174" s="146">
        <v>135000</v>
      </c>
      <c r="L174" s="273" t="s">
        <v>398</v>
      </c>
      <c r="M174" s="105" t="s">
        <v>166</v>
      </c>
      <c r="N174" s="115"/>
      <c r="O174" s="115"/>
      <c r="P174" s="115">
        <f t="shared" si="5"/>
        <v>0</v>
      </c>
      <c r="Q174" s="115"/>
      <c r="R174" s="115"/>
      <c r="S174" s="115"/>
      <c r="T174" s="115"/>
      <c r="U174" s="115"/>
      <c r="V174" s="115"/>
      <c r="W174" s="115"/>
      <c r="X174" s="115"/>
      <c r="Y174" s="115"/>
      <c r="Z174" s="115"/>
      <c r="AA174" s="115"/>
      <c r="AB174" s="115"/>
    </row>
    <row r="175" spans="1:28" ht="36">
      <c r="A175" s="226">
        <v>40041031</v>
      </c>
      <c r="B175" s="117">
        <v>33</v>
      </c>
      <c r="C175" s="120" t="s">
        <v>25</v>
      </c>
      <c r="D175" s="120" t="s">
        <v>415</v>
      </c>
      <c r="E175" s="117" t="s">
        <v>132</v>
      </c>
      <c r="F175" s="108" t="s">
        <v>416</v>
      </c>
      <c r="G175" s="117" t="s">
        <v>103</v>
      </c>
      <c r="H175" s="101" t="s">
        <v>310</v>
      </c>
      <c r="I175" s="101">
        <v>2022</v>
      </c>
      <c r="J175" s="101">
        <v>12111</v>
      </c>
      <c r="K175" s="146">
        <v>135000</v>
      </c>
      <c r="L175" s="273" t="s">
        <v>398</v>
      </c>
      <c r="M175" s="105" t="s">
        <v>166</v>
      </c>
      <c r="N175" s="115"/>
      <c r="O175" s="115"/>
      <c r="P175" s="115">
        <f t="shared" si="5"/>
        <v>0</v>
      </c>
      <c r="Q175" s="115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</row>
    <row r="176" spans="1:28" ht="36">
      <c r="A176" s="226">
        <v>40041181</v>
      </c>
      <c r="B176" s="117">
        <v>33</v>
      </c>
      <c r="C176" s="120" t="s">
        <v>25</v>
      </c>
      <c r="D176" s="120" t="s">
        <v>417</v>
      </c>
      <c r="E176" s="117" t="s">
        <v>132</v>
      </c>
      <c r="F176" s="108" t="s">
        <v>418</v>
      </c>
      <c r="G176" s="117" t="s">
        <v>103</v>
      </c>
      <c r="H176" s="101" t="s">
        <v>276</v>
      </c>
      <c r="I176" s="117">
        <v>2022</v>
      </c>
      <c r="J176" s="117">
        <v>12111</v>
      </c>
      <c r="K176" s="146">
        <v>132205</v>
      </c>
      <c r="L176" s="119" t="s">
        <v>419</v>
      </c>
      <c r="M176" s="105" t="s">
        <v>166</v>
      </c>
      <c r="N176" s="115"/>
      <c r="O176" s="115"/>
      <c r="P176" s="115">
        <f t="shared" si="5"/>
        <v>0</v>
      </c>
      <c r="Q176" s="115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</row>
    <row r="177" spans="1:28" ht="36">
      <c r="A177" s="226">
        <v>40041033</v>
      </c>
      <c r="B177" s="117">
        <v>33</v>
      </c>
      <c r="C177" s="120" t="s">
        <v>25</v>
      </c>
      <c r="D177" s="120" t="s">
        <v>420</v>
      </c>
      <c r="E177" s="117" t="s">
        <v>132</v>
      </c>
      <c r="F177" s="108" t="s">
        <v>421</v>
      </c>
      <c r="G177" s="117" t="s">
        <v>103</v>
      </c>
      <c r="H177" s="101" t="s">
        <v>310</v>
      </c>
      <c r="I177" s="117">
        <v>2022</v>
      </c>
      <c r="J177" s="117">
        <v>12111</v>
      </c>
      <c r="K177" s="146">
        <v>134807</v>
      </c>
      <c r="L177" s="119" t="s">
        <v>422</v>
      </c>
      <c r="M177" s="105" t="s">
        <v>166</v>
      </c>
      <c r="N177" s="115"/>
      <c r="O177" s="115"/>
      <c r="P177" s="115">
        <f t="shared" si="5"/>
        <v>0</v>
      </c>
      <c r="Q177" s="115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</row>
    <row r="178" spans="1:28" ht="36">
      <c r="A178" s="226">
        <v>40041183</v>
      </c>
      <c r="B178" s="117">
        <v>33</v>
      </c>
      <c r="C178" s="120" t="s">
        <v>25</v>
      </c>
      <c r="D178" s="120" t="s">
        <v>423</v>
      </c>
      <c r="E178" s="117" t="s">
        <v>132</v>
      </c>
      <c r="F178" s="108" t="s">
        <v>424</v>
      </c>
      <c r="G178" s="117" t="s">
        <v>103</v>
      </c>
      <c r="H178" s="101" t="s">
        <v>276</v>
      </c>
      <c r="I178" s="117">
        <v>2022</v>
      </c>
      <c r="J178" s="117">
        <v>12111</v>
      </c>
      <c r="K178" s="146">
        <v>115155</v>
      </c>
      <c r="L178" s="119" t="s">
        <v>419</v>
      </c>
      <c r="M178" s="105" t="s">
        <v>166</v>
      </c>
      <c r="N178" s="115"/>
      <c r="O178" s="115"/>
      <c r="P178" s="115">
        <f t="shared" si="5"/>
        <v>0</v>
      </c>
      <c r="Q178" s="115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</row>
    <row r="179" spans="1:28" ht="60">
      <c r="A179" s="226">
        <v>40041037</v>
      </c>
      <c r="B179" s="117">
        <v>33</v>
      </c>
      <c r="C179" s="120" t="s">
        <v>25</v>
      </c>
      <c r="D179" s="120" t="s">
        <v>425</v>
      </c>
      <c r="E179" s="117" t="s">
        <v>132</v>
      </c>
      <c r="F179" s="108" t="s">
        <v>426</v>
      </c>
      <c r="G179" s="117" t="s">
        <v>103</v>
      </c>
      <c r="H179" s="101" t="s">
        <v>276</v>
      </c>
      <c r="I179" s="117">
        <v>2022</v>
      </c>
      <c r="J179" s="117">
        <v>12111</v>
      </c>
      <c r="K179" s="146">
        <v>134264</v>
      </c>
      <c r="L179" s="119" t="s">
        <v>427</v>
      </c>
      <c r="M179" s="105" t="s">
        <v>166</v>
      </c>
      <c r="N179" s="115"/>
      <c r="O179" s="115"/>
      <c r="P179" s="115">
        <f t="shared" si="5"/>
        <v>0</v>
      </c>
      <c r="Q179" s="115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</row>
    <row r="180" spans="1:28" ht="48">
      <c r="A180" s="226">
        <v>40041040</v>
      </c>
      <c r="B180" s="117">
        <v>33</v>
      </c>
      <c r="C180" s="120" t="s">
        <v>25</v>
      </c>
      <c r="D180" s="120" t="s">
        <v>428</v>
      </c>
      <c r="E180" s="117" t="s">
        <v>132</v>
      </c>
      <c r="F180" s="108" t="s">
        <v>429</v>
      </c>
      <c r="G180" s="117" t="s">
        <v>103</v>
      </c>
      <c r="H180" s="101" t="s">
        <v>276</v>
      </c>
      <c r="I180" s="117">
        <v>2022</v>
      </c>
      <c r="J180" s="117">
        <v>12111</v>
      </c>
      <c r="K180" s="146">
        <v>134770</v>
      </c>
      <c r="L180" s="119" t="s">
        <v>430</v>
      </c>
      <c r="M180" s="105" t="s">
        <v>132</v>
      </c>
      <c r="N180" s="115">
        <v>40100</v>
      </c>
      <c r="O180" s="115">
        <v>40100</v>
      </c>
      <c r="P180" s="115">
        <f t="shared" si="5"/>
        <v>0</v>
      </c>
      <c r="Q180" s="115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277"/>
    </row>
    <row r="181" spans="1:28" ht="36">
      <c r="A181" s="226">
        <v>40041044</v>
      </c>
      <c r="B181" s="117">
        <v>33</v>
      </c>
      <c r="C181" s="120" t="s">
        <v>25</v>
      </c>
      <c r="D181" s="120" t="s">
        <v>431</v>
      </c>
      <c r="E181" s="117" t="s">
        <v>132</v>
      </c>
      <c r="F181" s="108" t="s">
        <v>432</v>
      </c>
      <c r="G181" s="117" t="s">
        <v>103</v>
      </c>
      <c r="H181" s="101" t="s">
        <v>276</v>
      </c>
      <c r="I181" s="117">
        <v>2022</v>
      </c>
      <c r="J181" s="117">
        <v>12111</v>
      </c>
      <c r="K181" s="146">
        <v>135000</v>
      </c>
      <c r="L181" s="101" t="s">
        <v>433</v>
      </c>
      <c r="M181" s="105" t="s">
        <v>166</v>
      </c>
      <c r="N181" s="115"/>
      <c r="O181" s="115"/>
      <c r="P181" s="115">
        <f t="shared" si="5"/>
        <v>0</v>
      </c>
      <c r="Q181" s="115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</row>
    <row r="182" spans="1:28" ht="36">
      <c r="A182" s="226">
        <v>40041150</v>
      </c>
      <c r="B182" s="117">
        <v>33</v>
      </c>
      <c r="C182" s="120" t="s">
        <v>25</v>
      </c>
      <c r="D182" s="120" t="s">
        <v>434</v>
      </c>
      <c r="E182" s="117" t="s">
        <v>132</v>
      </c>
      <c r="F182" s="108" t="s">
        <v>435</v>
      </c>
      <c r="G182" s="117" t="s">
        <v>103</v>
      </c>
      <c r="H182" s="101" t="s">
        <v>404</v>
      </c>
      <c r="I182" s="117">
        <v>2022</v>
      </c>
      <c r="J182" s="117">
        <v>12111</v>
      </c>
      <c r="K182" s="146">
        <v>107530</v>
      </c>
      <c r="L182" s="101" t="s">
        <v>433</v>
      </c>
      <c r="M182" s="105" t="s">
        <v>166</v>
      </c>
      <c r="N182" s="115"/>
      <c r="O182" s="115"/>
      <c r="P182" s="115">
        <f t="shared" si="5"/>
        <v>0</v>
      </c>
      <c r="Q182" s="115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</row>
    <row r="183" spans="1:28" ht="36">
      <c r="A183" s="226">
        <v>40041152</v>
      </c>
      <c r="B183" s="117">
        <v>33</v>
      </c>
      <c r="C183" s="120" t="s">
        <v>25</v>
      </c>
      <c r="D183" s="120" t="s">
        <v>436</v>
      </c>
      <c r="E183" s="117" t="s">
        <v>132</v>
      </c>
      <c r="F183" s="108" t="s">
        <v>437</v>
      </c>
      <c r="G183" s="117" t="s">
        <v>103</v>
      </c>
      <c r="H183" s="101" t="s">
        <v>404</v>
      </c>
      <c r="I183" s="117">
        <v>2022</v>
      </c>
      <c r="J183" s="117">
        <v>12111</v>
      </c>
      <c r="K183" s="146">
        <v>133420</v>
      </c>
      <c r="L183" s="236" t="s">
        <v>438</v>
      </c>
      <c r="M183" s="105" t="s">
        <v>166</v>
      </c>
      <c r="N183" s="115"/>
      <c r="O183" s="115"/>
      <c r="P183" s="115">
        <f t="shared" si="5"/>
        <v>0</v>
      </c>
      <c r="Q183" s="115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</row>
    <row r="184" spans="1:28" ht="24">
      <c r="A184" s="226">
        <v>40041169</v>
      </c>
      <c r="B184" s="117">
        <v>33</v>
      </c>
      <c r="C184" s="120" t="s">
        <v>25</v>
      </c>
      <c r="D184" s="120" t="s">
        <v>439</v>
      </c>
      <c r="E184" s="117" t="s">
        <v>132</v>
      </c>
      <c r="F184" s="108" t="s">
        <v>440</v>
      </c>
      <c r="G184" s="117" t="s">
        <v>103</v>
      </c>
      <c r="H184" s="101" t="s">
        <v>310</v>
      </c>
      <c r="I184" s="101">
        <v>2022</v>
      </c>
      <c r="J184" s="101">
        <v>12150</v>
      </c>
      <c r="K184" s="146">
        <v>135000</v>
      </c>
      <c r="L184" s="101" t="s">
        <v>433</v>
      </c>
      <c r="M184" s="105" t="s">
        <v>166</v>
      </c>
      <c r="N184" s="115"/>
      <c r="O184" s="115"/>
      <c r="P184" s="115">
        <f t="shared" si="5"/>
        <v>0</v>
      </c>
      <c r="Q184" s="115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</row>
    <row r="185" spans="1:28" ht="36">
      <c r="A185" s="226">
        <v>40041171</v>
      </c>
      <c r="B185" s="117">
        <v>33</v>
      </c>
      <c r="C185" s="120" t="s">
        <v>25</v>
      </c>
      <c r="D185" s="120" t="s">
        <v>441</v>
      </c>
      <c r="E185" s="117" t="s">
        <v>132</v>
      </c>
      <c r="F185" s="108" t="s">
        <v>442</v>
      </c>
      <c r="G185" s="117" t="s">
        <v>103</v>
      </c>
      <c r="H185" s="101" t="s">
        <v>310</v>
      </c>
      <c r="I185" s="101">
        <v>2022</v>
      </c>
      <c r="J185" s="101">
        <v>12150</v>
      </c>
      <c r="K185" s="146">
        <v>135000</v>
      </c>
      <c r="L185" s="101" t="s">
        <v>433</v>
      </c>
      <c r="M185" s="105" t="s">
        <v>166</v>
      </c>
      <c r="N185" s="115"/>
      <c r="O185" s="115"/>
      <c r="P185" s="115">
        <f t="shared" si="5"/>
        <v>0</v>
      </c>
      <c r="Q185" s="115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</row>
    <row r="186" spans="1:28" ht="36">
      <c r="A186" s="226">
        <v>40041173</v>
      </c>
      <c r="B186" s="117">
        <v>33</v>
      </c>
      <c r="C186" s="120" t="s">
        <v>25</v>
      </c>
      <c r="D186" s="120" t="s">
        <v>443</v>
      </c>
      <c r="E186" s="117" t="s">
        <v>132</v>
      </c>
      <c r="F186" s="108" t="s">
        <v>444</v>
      </c>
      <c r="G186" s="117" t="s">
        <v>103</v>
      </c>
      <c r="H186" s="101" t="s">
        <v>310</v>
      </c>
      <c r="I186" s="101">
        <v>2022</v>
      </c>
      <c r="J186" s="101">
        <v>12150</v>
      </c>
      <c r="K186" s="146">
        <v>135000</v>
      </c>
      <c r="L186" s="236" t="s">
        <v>433</v>
      </c>
      <c r="M186" s="105" t="s">
        <v>166</v>
      </c>
      <c r="N186" s="115"/>
      <c r="O186" s="115"/>
      <c r="P186" s="115">
        <f t="shared" si="5"/>
        <v>0</v>
      </c>
      <c r="Q186" s="115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</row>
    <row r="187" spans="1:28" ht="36">
      <c r="A187" s="226">
        <v>40043869</v>
      </c>
      <c r="B187" s="117">
        <v>33</v>
      </c>
      <c r="C187" s="120" t="s">
        <v>25</v>
      </c>
      <c r="D187" s="120" t="s">
        <v>445</v>
      </c>
      <c r="E187" s="117" t="s">
        <v>132</v>
      </c>
      <c r="F187" s="108" t="s">
        <v>446</v>
      </c>
      <c r="G187" s="117" t="s">
        <v>103</v>
      </c>
      <c r="H187" s="101" t="s">
        <v>276</v>
      </c>
      <c r="I187" s="101">
        <v>2022</v>
      </c>
      <c r="J187" s="101">
        <v>12453</v>
      </c>
      <c r="K187" s="146">
        <v>198720</v>
      </c>
      <c r="L187" s="101" t="s">
        <v>395</v>
      </c>
      <c r="M187" s="105" t="s">
        <v>166</v>
      </c>
      <c r="N187" s="115"/>
      <c r="O187" s="115"/>
      <c r="P187" s="115">
        <f t="shared" si="5"/>
        <v>0</v>
      </c>
      <c r="Q187" s="115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</row>
    <row r="188" spans="1:28" ht="36">
      <c r="A188" s="226">
        <v>40035673</v>
      </c>
      <c r="B188" s="117">
        <v>33</v>
      </c>
      <c r="C188" s="120" t="s">
        <v>25</v>
      </c>
      <c r="D188" s="120" t="s">
        <v>447</v>
      </c>
      <c r="E188" s="117" t="s">
        <v>132</v>
      </c>
      <c r="F188" s="108" t="s">
        <v>448</v>
      </c>
      <c r="G188" s="117" t="s">
        <v>103</v>
      </c>
      <c r="H188" s="101" t="s">
        <v>276</v>
      </c>
      <c r="I188" s="101">
        <v>2022</v>
      </c>
      <c r="J188" s="101">
        <v>11932</v>
      </c>
      <c r="K188" s="146">
        <v>402112</v>
      </c>
      <c r="L188" s="239" t="s">
        <v>419</v>
      </c>
      <c r="M188" s="105" t="s">
        <v>132</v>
      </c>
      <c r="N188" s="115"/>
      <c r="O188" s="115"/>
      <c r="P188" s="115">
        <f t="shared" si="5"/>
        <v>0</v>
      </c>
      <c r="Q188" s="115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</row>
    <row r="189" spans="1:28" ht="36">
      <c r="A189" s="226">
        <v>40045967</v>
      </c>
      <c r="B189" s="117">
        <v>33</v>
      </c>
      <c r="C189" s="120" t="s">
        <v>25</v>
      </c>
      <c r="D189" s="120" t="s">
        <v>449</v>
      </c>
      <c r="E189" s="117" t="s">
        <v>132</v>
      </c>
      <c r="F189" s="108" t="s">
        <v>450</v>
      </c>
      <c r="G189" s="117" t="s">
        <v>103</v>
      </c>
      <c r="H189" s="101" t="s">
        <v>185</v>
      </c>
      <c r="I189" s="101">
        <v>2022</v>
      </c>
      <c r="J189" s="101">
        <v>12550</v>
      </c>
      <c r="K189" s="146">
        <v>270000</v>
      </c>
      <c r="L189" s="101" t="s">
        <v>451</v>
      </c>
      <c r="M189" s="105" t="s">
        <v>132</v>
      </c>
      <c r="N189" s="115"/>
      <c r="O189" s="115"/>
      <c r="P189" s="115">
        <f t="shared" si="5"/>
        <v>0</v>
      </c>
      <c r="Q189" s="115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</row>
    <row r="190" spans="1:28" ht="24">
      <c r="A190" s="226">
        <v>40043174</v>
      </c>
      <c r="B190" s="117">
        <v>33</v>
      </c>
      <c r="C190" s="120" t="s">
        <v>25</v>
      </c>
      <c r="D190" s="117" t="s">
        <v>452</v>
      </c>
      <c r="E190" s="120" t="s">
        <v>132</v>
      </c>
      <c r="F190" s="208" t="s">
        <v>453</v>
      </c>
      <c r="G190" s="117" t="s">
        <v>103</v>
      </c>
      <c r="H190" s="101" t="s">
        <v>183</v>
      </c>
      <c r="I190" s="101">
        <v>2022</v>
      </c>
      <c r="J190" s="101">
        <v>12550</v>
      </c>
      <c r="K190" s="146">
        <v>118118</v>
      </c>
      <c r="L190" s="236" t="s">
        <v>454</v>
      </c>
      <c r="M190" s="105" t="s">
        <v>132</v>
      </c>
      <c r="N190" s="218"/>
      <c r="O190" s="218"/>
      <c r="P190" s="115">
        <f t="shared" si="5"/>
        <v>0</v>
      </c>
      <c r="Q190" s="115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</row>
    <row r="191" spans="1:28" ht="36">
      <c r="A191" s="226">
        <v>40046018</v>
      </c>
      <c r="B191" s="117">
        <v>33</v>
      </c>
      <c r="C191" s="120" t="s">
        <v>25</v>
      </c>
      <c r="D191" s="120" t="s">
        <v>455</v>
      </c>
      <c r="E191" s="117" t="s">
        <v>132</v>
      </c>
      <c r="F191" s="108" t="s">
        <v>456</v>
      </c>
      <c r="G191" s="257" t="s">
        <v>103</v>
      </c>
      <c r="H191" s="101" t="s">
        <v>183</v>
      </c>
      <c r="I191" s="101">
        <v>2022</v>
      </c>
      <c r="J191" s="101">
        <v>12627</v>
      </c>
      <c r="K191" s="146">
        <v>690507</v>
      </c>
      <c r="L191" s="239" t="s">
        <v>457</v>
      </c>
      <c r="M191" s="105" t="s">
        <v>132</v>
      </c>
      <c r="N191" s="115"/>
      <c r="O191" s="115"/>
      <c r="P191" s="115">
        <f t="shared" si="5"/>
        <v>0</v>
      </c>
      <c r="Q191" s="115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</row>
    <row r="192" spans="1:28" ht="36">
      <c r="A192" s="226">
        <v>40046834</v>
      </c>
      <c r="B192" s="117">
        <v>33</v>
      </c>
      <c r="C192" s="120" t="s">
        <v>25</v>
      </c>
      <c r="D192" s="120" t="s">
        <v>458</v>
      </c>
      <c r="E192" s="117" t="s">
        <v>132</v>
      </c>
      <c r="F192" s="108" t="s">
        <v>459</v>
      </c>
      <c r="G192" s="117" t="s">
        <v>103</v>
      </c>
      <c r="H192" s="101" t="s">
        <v>276</v>
      </c>
      <c r="I192" s="101">
        <v>2022</v>
      </c>
      <c r="J192" s="101">
        <v>12627</v>
      </c>
      <c r="K192" s="146">
        <v>297699</v>
      </c>
      <c r="L192" s="239" t="s">
        <v>460</v>
      </c>
      <c r="M192" s="105" t="s">
        <v>166</v>
      </c>
      <c r="N192" s="115"/>
      <c r="O192" s="115"/>
      <c r="P192" s="115">
        <f t="shared" si="5"/>
        <v>0</v>
      </c>
      <c r="Q192" s="115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</row>
    <row r="193" spans="1:28" ht="36">
      <c r="A193" s="226">
        <v>40045723</v>
      </c>
      <c r="B193" s="117">
        <v>33</v>
      </c>
      <c r="C193" s="120" t="s">
        <v>25</v>
      </c>
      <c r="D193" s="120" t="s">
        <v>461</v>
      </c>
      <c r="E193" s="117" t="s">
        <v>132</v>
      </c>
      <c r="F193" s="108" t="s">
        <v>462</v>
      </c>
      <c r="G193" s="117" t="s">
        <v>103</v>
      </c>
      <c r="H193" s="101" t="s">
        <v>276</v>
      </c>
      <c r="I193" s="101">
        <v>2022</v>
      </c>
      <c r="J193" s="101">
        <v>12627</v>
      </c>
      <c r="K193" s="146">
        <v>389620</v>
      </c>
      <c r="L193" s="101" t="s">
        <v>419</v>
      </c>
      <c r="M193" s="105" t="s">
        <v>166</v>
      </c>
      <c r="N193" s="115"/>
      <c r="O193" s="115"/>
      <c r="P193" s="115">
        <f t="shared" si="5"/>
        <v>0</v>
      </c>
      <c r="Q193" s="115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</row>
    <row r="194" spans="1:28" ht="48">
      <c r="A194" s="226">
        <v>40035761</v>
      </c>
      <c r="B194" s="117">
        <v>33</v>
      </c>
      <c r="C194" s="120" t="s">
        <v>25</v>
      </c>
      <c r="D194" s="120" t="s">
        <v>463</v>
      </c>
      <c r="E194" s="117" t="s">
        <v>132</v>
      </c>
      <c r="F194" s="108" t="s">
        <v>464</v>
      </c>
      <c r="G194" s="117" t="s">
        <v>103</v>
      </c>
      <c r="H194" s="101" t="s">
        <v>276</v>
      </c>
      <c r="I194" s="101">
        <v>2022</v>
      </c>
      <c r="J194" s="101">
        <v>12627</v>
      </c>
      <c r="K194" s="146">
        <v>439077</v>
      </c>
      <c r="L194" s="101" t="s">
        <v>419</v>
      </c>
      <c r="M194" s="105" t="s">
        <v>192</v>
      </c>
      <c r="N194" s="115"/>
      <c r="O194" s="115"/>
      <c r="P194" s="115">
        <f t="shared" si="5"/>
        <v>0</v>
      </c>
      <c r="Q194" s="115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</row>
    <row r="195" spans="1:28" ht="36">
      <c r="A195" s="226">
        <v>40035747</v>
      </c>
      <c r="B195" s="117">
        <v>33</v>
      </c>
      <c r="C195" s="120" t="s">
        <v>25</v>
      </c>
      <c r="D195" s="120" t="s">
        <v>465</v>
      </c>
      <c r="E195" s="117" t="s">
        <v>132</v>
      </c>
      <c r="F195" s="108" t="s">
        <v>466</v>
      </c>
      <c r="G195" s="117" t="s">
        <v>103</v>
      </c>
      <c r="H195" s="101" t="s">
        <v>276</v>
      </c>
      <c r="I195" s="101">
        <v>2022</v>
      </c>
      <c r="J195" s="101">
        <v>12627</v>
      </c>
      <c r="K195" s="146">
        <v>467944</v>
      </c>
      <c r="L195" s="101" t="s">
        <v>419</v>
      </c>
      <c r="M195" s="105" t="s">
        <v>166</v>
      </c>
      <c r="N195" s="115"/>
      <c r="O195" s="115"/>
      <c r="P195" s="115">
        <f t="shared" si="5"/>
        <v>0</v>
      </c>
      <c r="Q195" s="115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</row>
    <row r="196" spans="1:28" ht="36">
      <c r="A196" s="226">
        <v>40026000</v>
      </c>
      <c r="B196" s="117">
        <v>33</v>
      </c>
      <c r="C196" s="120" t="s">
        <v>25</v>
      </c>
      <c r="D196" s="120" t="s">
        <v>467</v>
      </c>
      <c r="E196" s="117" t="s">
        <v>132</v>
      </c>
      <c r="F196" s="108" t="s">
        <v>468</v>
      </c>
      <c r="G196" s="117" t="s">
        <v>103</v>
      </c>
      <c r="H196" s="101" t="s">
        <v>161</v>
      </c>
      <c r="I196" s="101">
        <v>2021</v>
      </c>
      <c r="J196" s="101">
        <v>11215</v>
      </c>
      <c r="K196" s="146">
        <v>83610</v>
      </c>
      <c r="L196" s="270" t="s">
        <v>469</v>
      </c>
      <c r="M196" s="105" t="s">
        <v>132</v>
      </c>
      <c r="N196" s="115"/>
      <c r="O196" s="115"/>
      <c r="P196" s="115">
        <f t="shared" si="5"/>
        <v>0</v>
      </c>
      <c r="Q196" s="115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</row>
    <row r="197" spans="1:28" ht="36">
      <c r="A197" s="226">
        <v>40046282</v>
      </c>
      <c r="B197" s="117">
        <v>33</v>
      </c>
      <c r="C197" s="120" t="s">
        <v>25</v>
      </c>
      <c r="D197" s="120" t="s">
        <v>470</v>
      </c>
      <c r="E197" s="117" t="s">
        <v>132</v>
      </c>
      <c r="F197" s="108" t="s">
        <v>471</v>
      </c>
      <c r="G197" s="117" t="s">
        <v>103</v>
      </c>
      <c r="H197" s="101" t="s">
        <v>134</v>
      </c>
      <c r="I197" s="101">
        <v>2022</v>
      </c>
      <c r="J197" s="101">
        <v>12661</v>
      </c>
      <c r="K197" s="146">
        <v>410800</v>
      </c>
      <c r="L197" s="101" t="s">
        <v>472</v>
      </c>
      <c r="M197" s="105" t="s">
        <v>132</v>
      </c>
      <c r="N197" s="115"/>
      <c r="O197" s="115"/>
      <c r="P197" s="115">
        <f t="shared" si="5"/>
        <v>0</v>
      </c>
      <c r="Q197" s="115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</row>
    <row r="198" spans="1:28" ht="24">
      <c r="A198" s="226">
        <v>40046143</v>
      </c>
      <c r="B198" s="117">
        <v>33</v>
      </c>
      <c r="C198" s="120" t="s">
        <v>25</v>
      </c>
      <c r="D198" s="120" t="s">
        <v>473</v>
      </c>
      <c r="E198" s="117" t="s">
        <v>132</v>
      </c>
      <c r="F198" s="108" t="s">
        <v>474</v>
      </c>
      <c r="G198" s="117" t="s">
        <v>103</v>
      </c>
      <c r="H198" s="101" t="s">
        <v>134</v>
      </c>
      <c r="I198" s="101">
        <v>2022</v>
      </c>
      <c r="J198" s="101">
        <v>12660</v>
      </c>
      <c r="K198" s="146">
        <v>240800</v>
      </c>
      <c r="L198" s="101" t="s">
        <v>475</v>
      </c>
      <c r="M198" s="105" t="s">
        <v>132</v>
      </c>
      <c r="N198" s="115"/>
      <c r="O198" s="115"/>
      <c r="P198" s="115">
        <f t="shared" si="5"/>
        <v>0</v>
      </c>
      <c r="Q198" s="115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</row>
    <row r="199" spans="1:28" ht="36">
      <c r="A199" s="226">
        <v>40046976</v>
      </c>
      <c r="B199" s="117">
        <v>33</v>
      </c>
      <c r="C199" s="120" t="s">
        <v>25</v>
      </c>
      <c r="D199" s="120" t="s">
        <v>476</v>
      </c>
      <c r="E199" s="117" t="s">
        <v>132</v>
      </c>
      <c r="F199" s="108" t="s">
        <v>477</v>
      </c>
      <c r="G199" s="117" t="s">
        <v>103</v>
      </c>
      <c r="H199" s="101" t="s">
        <v>183</v>
      </c>
      <c r="I199" s="101">
        <v>2022</v>
      </c>
      <c r="J199" s="101">
        <v>12672</v>
      </c>
      <c r="K199" s="146">
        <v>140576</v>
      </c>
      <c r="L199" s="239" t="s">
        <v>478</v>
      </c>
      <c r="M199" s="105" t="s">
        <v>132</v>
      </c>
      <c r="N199" s="115"/>
      <c r="O199" s="115"/>
      <c r="P199" s="115">
        <f t="shared" si="5"/>
        <v>0</v>
      </c>
      <c r="Q199" s="115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</row>
    <row r="200" spans="1:28" ht="24">
      <c r="A200" s="107" t="s">
        <v>208</v>
      </c>
      <c r="B200" s="101">
        <v>33</v>
      </c>
      <c r="C200" s="103" t="s">
        <v>27</v>
      </c>
      <c r="D200" s="103" t="s">
        <v>479</v>
      </c>
      <c r="E200" s="101" t="s">
        <v>208</v>
      </c>
      <c r="F200" s="108" t="s">
        <v>480</v>
      </c>
      <c r="G200" s="117" t="s">
        <v>211</v>
      </c>
      <c r="H200" s="101" t="s">
        <v>134</v>
      </c>
      <c r="I200" s="101" t="s">
        <v>211</v>
      </c>
      <c r="J200" s="101" t="s">
        <v>211</v>
      </c>
      <c r="K200" s="117" t="s">
        <v>211</v>
      </c>
      <c r="L200" s="236" t="s">
        <v>216</v>
      </c>
      <c r="M200" s="105" t="s">
        <v>211</v>
      </c>
      <c r="N200" s="115">
        <v>4374915</v>
      </c>
      <c r="O200" s="115">
        <v>4374915</v>
      </c>
      <c r="P200" s="115">
        <f t="shared" si="5"/>
        <v>0</v>
      </c>
      <c r="Q200" s="115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</row>
    <row r="201" spans="1:28" ht="24">
      <c r="A201" s="264">
        <v>40047932</v>
      </c>
      <c r="B201" s="107">
        <v>29</v>
      </c>
      <c r="C201" s="103" t="s">
        <v>27</v>
      </c>
      <c r="D201" s="101"/>
      <c r="E201" s="101" t="s">
        <v>132</v>
      </c>
      <c r="F201" s="108" t="s">
        <v>481</v>
      </c>
      <c r="G201" s="117" t="s">
        <v>91</v>
      </c>
      <c r="H201" s="101" t="s">
        <v>213</v>
      </c>
      <c r="I201" s="101">
        <v>2023</v>
      </c>
      <c r="J201" s="101">
        <v>13481</v>
      </c>
      <c r="K201" s="146">
        <v>801300</v>
      </c>
      <c r="L201" s="236" t="s">
        <v>482</v>
      </c>
      <c r="M201" s="105" t="s">
        <v>483</v>
      </c>
      <c r="N201" s="115">
        <v>1000</v>
      </c>
      <c r="O201" s="115"/>
      <c r="P201" s="115">
        <f t="shared" si="5"/>
        <v>0</v>
      </c>
      <c r="Q201" s="115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</row>
    <row r="202" spans="1:28" ht="36">
      <c r="A202" s="264">
        <v>40057058</v>
      </c>
      <c r="B202" s="107">
        <v>29</v>
      </c>
      <c r="C202" s="103" t="s">
        <v>27</v>
      </c>
      <c r="D202" s="101"/>
      <c r="E202" s="101" t="s">
        <v>132</v>
      </c>
      <c r="F202" s="108" t="s">
        <v>484</v>
      </c>
      <c r="G202" s="117" t="s">
        <v>100</v>
      </c>
      <c r="H202" s="101" t="s">
        <v>161</v>
      </c>
      <c r="I202" s="101">
        <v>2023</v>
      </c>
      <c r="J202" s="101">
        <v>13481</v>
      </c>
      <c r="K202" s="146">
        <v>915837</v>
      </c>
      <c r="L202" s="236" t="s">
        <v>482</v>
      </c>
      <c r="M202" s="105" t="s">
        <v>483</v>
      </c>
      <c r="N202" s="115">
        <v>1000</v>
      </c>
      <c r="O202" s="115"/>
      <c r="P202" s="115">
        <f t="shared" si="5"/>
        <v>0</v>
      </c>
      <c r="Q202" s="115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</row>
    <row r="203" spans="1:28" ht="36">
      <c r="A203" s="264">
        <v>40056980</v>
      </c>
      <c r="B203" s="107">
        <v>29</v>
      </c>
      <c r="C203" s="103" t="s">
        <v>27</v>
      </c>
      <c r="D203" s="101"/>
      <c r="E203" s="101" t="s">
        <v>132</v>
      </c>
      <c r="F203" s="108" t="s">
        <v>485</v>
      </c>
      <c r="G203" s="101" t="s">
        <v>83</v>
      </c>
      <c r="H203" s="101" t="s">
        <v>134</v>
      </c>
      <c r="I203" s="101">
        <v>2023</v>
      </c>
      <c r="J203" s="101">
        <v>13598</v>
      </c>
      <c r="K203" s="146">
        <v>649842</v>
      </c>
      <c r="L203" s="236" t="s">
        <v>216</v>
      </c>
      <c r="M203" s="101" t="s">
        <v>340</v>
      </c>
      <c r="N203" s="115">
        <v>1000</v>
      </c>
      <c r="O203" s="115">
        <v>25000</v>
      </c>
      <c r="P203" s="115">
        <f t="shared" si="5"/>
        <v>0</v>
      </c>
      <c r="Q203" s="115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</row>
    <row r="204" spans="1:28" ht="24">
      <c r="A204" s="264">
        <v>40023024</v>
      </c>
      <c r="B204" s="107">
        <v>29</v>
      </c>
      <c r="C204" s="103" t="s">
        <v>27</v>
      </c>
      <c r="D204" s="101"/>
      <c r="E204" s="101" t="s">
        <v>132</v>
      </c>
      <c r="F204" s="108" t="s">
        <v>486</v>
      </c>
      <c r="G204" s="117" t="s">
        <v>90</v>
      </c>
      <c r="H204" s="101" t="s">
        <v>134</v>
      </c>
      <c r="I204" s="101">
        <v>2023</v>
      </c>
      <c r="J204" s="101">
        <v>13481</v>
      </c>
      <c r="K204" s="146">
        <v>167442</v>
      </c>
      <c r="L204" s="236" t="s">
        <v>482</v>
      </c>
      <c r="M204" s="105" t="s">
        <v>164</v>
      </c>
      <c r="N204" s="115">
        <v>167442</v>
      </c>
      <c r="O204" s="115">
        <v>172580</v>
      </c>
      <c r="P204" s="115">
        <f t="shared" si="5"/>
        <v>0</v>
      </c>
      <c r="Q204" s="115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</row>
    <row r="205" spans="1:28">
      <c r="A205" s="308"/>
      <c r="B205" s="107">
        <v>33</v>
      </c>
      <c r="C205" s="103" t="s">
        <v>27</v>
      </c>
      <c r="D205" s="101"/>
      <c r="E205" s="101"/>
      <c r="F205" s="223" t="s">
        <v>487</v>
      </c>
      <c r="G205" s="117" t="s">
        <v>211</v>
      </c>
      <c r="H205" s="101"/>
      <c r="I205" s="101"/>
      <c r="J205" s="101"/>
      <c r="K205" s="146"/>
      <c r="L205" s="236"/>
      <c r="M205" s="105" t="s">
        <v>211</v>
      </c>
      <c r="N205" s="115">
        <v>5000000</v>
      </c>
      <c r="O205" s="115"/>
      <c r="P205" s="115"/>
      <c r="Q205" s="115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</row>
    <row r="206" spans="1:28" ht="36">
      <c r="A206" s="238">
        <v>40066214</v>
      </c>
      <c r="B206" s="107">
        <v>33</v>
      </c>
      <c r="C206" s="103" t="s">
        <v>27</v>
      </c>
      <c r="D206" s="101"/>
      <c r="E206" s="101" t="s">
        <v>132</v>
      </c>
      <c r="F206" s="223" t="s">
        <v>488</v>
      </c>
      <c r="G206" s="117" t="s">
        <v>91</v>
      </c>
      <c r="H206" s="101" t="s">
        <v>141</v>
      </c>
      <c r="I206" s="101">
        <v>2023</v>
      </c>
      <c r="J206" s="101">
        <v>13595</v>
      </c>
      <c r="K206" s="146">
        <v>410793</v>
      </c>
      <c r="L206" s="236" t="s">
        <v>489</v>
      </c>
      <c r="M206" s="105" t="s">
        <v>490</v>
      </c>
      <c r="N206" s="115"/>
      <c r="O206" s="115"/>
      <c r="P206" s="115">
        <f t="shared" si="5"/>
        <v>0</v>
      </c>
      <c r="Q206" s="115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</row>
    <row r="207" spans="1:28" ht="24">
      <c r="A207" s="238">
        <v>40066212</v>
      </c>
      <c r="B207" s="107">
        <v>33</v>
      </c>
      <c r="C207" s="103" t="s">
        <v>27</v>
      </c>
      <c r="D207" s="101"/>
      <c r="E207" s="101" t="s">
        <v>132</v>
      </c>
      <c r="F207" s="223" t="s">
        <v>491</v>
      </c>
      <c r="G207" s="117" t="s">
        <v>99</v>
      </c>
      <c r="H207" s="101" t="s">
        <v>263</v>
      </c>
      <c r="I207" s="101">
        <v>2023</v>
      </c>
      <c r="J207" s="101">
        <v>13595</v>
      </c>
      <c r="K207" s="146">
        <v>902098</v>
      </c>
      <c r="L207" s="236" t="s">
        <v>489</v>
      </c>
      <c r="M207" s="105" t="s">
        <v>490</v>
      </c>
      <c r="N207" s="115"/>
      <c r="O207" s="115"/>
      <c r="P207" s="115">
        <f t="shared" si="5"/>
        <v>0</v>
      </c>
      <c r="Q207" s="115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</row>
    <row r="208" spans="1:28" ht="36">
      <c r="A208" s="264">
        <v>40046841</v>
      </c>
      <c r="B208" s="107">
        <v>29</v>
      </c>
      <c r="C208" s="103" t="s">
        <v>27</v>
      </c>
      <c r="D208" s="101"/>
      <c r="E208" s="101" t="s">
        <v>132</v>
      </c>
      <c r="F208" s="108" t="s">
        <v>492</v>
      </c>
      <c r="G208" s="117" t="s">
        <v>84</v>
      </c>
      <c r="H208" s="101" t="s">
        <v>147</v>
      </c>
      <c r="I208" s="101">
        <v>2023</v>
      </c>
      <c r="J208" s="101">
        <v>13395</v>
      </c>
      <c r="K208" s="146">
        <v>340000</v>
      </c>
      <c r="L208" s="101" t="s">
        <v>173</v>
      </c>
      <c r="M208" s="105" t="s">
        <v>132</v>
      </c>
      <c r="N208" s="115">
        <v>354620</v>
      </c>
      <c r="O208" s="115">
        <v>1000</v>
      </c>
      <c r="P208" s="115">
        <f t="shared" si="5"/>
        <v>0</v>
      </c>
      <c r="Q208" s="115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</row>
    <row r="209" spans="1:28" ht="24">
      <c r="A209" s="264">
        <v>40055891</v>
      </c>
      <c r="B209" s="107">
        <v>29</v>
      </c>
      <c r="C209" s="103" t="s">
        <v>27</v>
      </c>
      <c r="D209" s="101"/>
      <c r="E209" s="101" t="s">
        <v>132</v>
      </c>
      <c r="F209" s="108" t="s">
        <v>493</v>
      </c>
      <c r="G209" s="117" t="s">
        <v>90</v>
      </c>
      <c r="H209" s="101" t="s">
        <v>147</v>
      </c>
      <c r="I209" s="101">
        <v>2023</v>
      </c>
      <c r="J209" s="101">
        <v>13396</v>
      </c>
      <c r="K209" s="146">
        <v>287433</v>
      </c>
      <c r="L209" s="101" t="s">
        <v>173</v>
      </c>
      <c r="M209" s="105" t="s">
        <v>166</v>
      </c>
      <c r="N209" s="115"/>
      <c r="O209" s="115"/>
      <c r="P209" s="115">
        <f t="shared" si="5"/>
        <v>0</v>
      </c>
      <c r="Q209" s="115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</row>
    <row r="210" spans="1:28" ht="70.5" customHeight="1">
      <c r="A210" s="264">
        <v>40056506</v>
      </c>
      <c r="B210" s="107">
        <v>29</v>
      </c>
      <c r="C210" s="103" t="s">
        <v>27</v>
      </c>
      <c r="D210" s="101"/>
      <c r="E210" s="101" t="s">
        <v>132</v>
      </c>
      <c r="F210" s="108" t="s">
        <v>494</v>
      </c>
      <c r="G210" s="117" t="s">
        <v>103</v>
      </c>
      <c r="H210" s="101" t="s">
        <v>150</v>
      </c>
      <c r="I210" s="101">
        <v>2023</v>
      </c>
      <c r="J210" s="101">
        <v>13481</v>
      </c>
      <c r="K210" s="146">
        <v>215585</v>
      </c>
      <c r="L210" s="236" t="s">
        <v>495</v>
      </c>
      <c r="M210" s="105" t="s">
        <v>166</v>
      </c>
      <c r="N210" s="115">
        <v>116098.261</v>
      </c>
      <c r="O210" s="115">
        <v>186248</v>
      </c>
      <c r="P210" s="115">
        <f t="shared" si="5"/>
        <v>186247.26</v>
      </c>
      <c r="Q210" s="115"/>
      <c r="R210" s="115"/>
      <c r="S210" s="115">
        <v>186247.26</v>
      </c>
      <c r="T210" s="115"/>
      <c r="U210" s="115"/>
      <c r="V210" s="115"/>
      <c r="W210" s="115"/>
      <c r="X210" s="115"/>
      <c r="Y210" s="115"/>
      <c r="Z210" s="115"/>
      <c r="AA210" s="115"/>
      <c r="AB210" s="115"/>
    </row>
    <row r="211" spans="1:28" ht="36">
      <c r="A211" s="264">
        <v>40047727</v>
      </c>
      <c r="B211" s="107">
        <v>29</v>
      </c>
      <c r="C211" s="103" t="s">
        <v>27</v>
      </c>
      <c r="D211" s="101"/>
      <c r="E211" s="101" t="s">
        <v>132</v>
      </c>
      <c r="F211" s="108" t="s">
        <v>496</v>
      </c>
      <c r="G211" s="117" t="s">
        <v>103</v>
      </c>
      <c r="H211" s="101" t="s">
        <v>150</v>
      </c>
      <c r="I211" s="101">
        <v>2023</v>
      </c>
      <c r="J211" s="101">
        <v>13530</v>
      </c>
      <c r="K211" s="146">
        <v>9313409</v>
      </c>
      <c r="L211" s="236" t="s">
        <v>387</v>
      </c>
      <c r="M211" s="105" t="s">
        <v>497</v>
      </c>
      <c r="N211" s="115"/>
      <c r="O211" s="115"/>
      <c r="P211" s="115">
        <f t="shared" si="5"/>
        <v>0</v>
      </c>
      <c r="Q211" s="115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</row>
    <row r="212" spans="1:28" ht="36">
      <c r="A212" s="264">
        <v>40054166</v>
      </c>
      <c r="B212" s="107">
        <v>29</v>
      </c>
      <c r="C212" s="103" t="s">
        <v>27</v>
      </c>
      <c r="D212" s="101"/>
      <c r="E212" s="101" t="s">
        <v>132</v>
      </c>
      <c r="F212" s="108" t="s">
        <v>498</v>
      </c>
      <c r="G212" s="117" t="s">
        <v>90</v>
      </c>
      <c r="H212" s="101" t="s">
        <v>134</v>
      </c>
      <c r="I212" s="101">
        <v>2023</v>
      </c>
      <c r="J212" s="101">
        <v>13481</v>
      </c>
      <c r="K212" s="146">
        <v>582262</v>
      </c>
      <c r="L212" s="236" t="s">
        <v>216</v>
      </c>
      <c r="M212" s="101" t="s">
        <v>268</v>
      </c>
      <c r="N212" s="115">
        <v>1000</v>
      </c>
      <c r="O212" s="115">
        <v>10000</v>
      </c>
      <c r="P212" s="115">
        <f t="shared" si="5"/>
        <v>0</v>
      </c>
      <c r="Q212" s="115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</row>
    <row r="213" spans="1:28" ht="36">
      <c r="A213" s="264">
        <v>40052203</v>
      </c>
      <c r="B213" s="107">
        <v>29</v>
      </c>
      <c r="C213" s="103" t="s">
        <v>27</v>
      </c>
      <c r="D213" s="101"/>
      <c r="E213" s="101" t="s">
        <v>132</v>
      </c>
      <c r="F213" s="108" t="s">
        <v>499</v>
      </c>
      <c r="G213" s="117" t="s">
        <v>103</v>
      </c>
      <c r="H213" s="101" t="s">
        <v>144</v>
      </c>
      <c r="I213" s="101">
        <v>2023</v>
      </c>
      <c r="J213" s="101">
        <v>13481</v>
      </c>
      <c r="K213" s="146">
        <v>250468</v>
      </c>
      <c r="L213" s="236" t="s">
        <v>500</v>
      </c>
      <c r="M213" s="105" t="s">
        <v>152</v>
      </c>
      <c r="N213" s="115">
        <v>250468</v>
      </c>
      <c r="O213" s="115">
        <v>1000</v>
      </c>
      <c r="P213" s="115">
        <f t="shared" si="5"/>
        <v>0</v>
      </c>
      <c r="Q213" s="115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</row>
    <row r="214" spans="1:28" ht="36">
      <c r="A214" s="264">
        <v>40055994</v>
      </c>
      <c r="B214" s="107">
        <v>33</v>
      </c>
      <c r="C214" s="103" t="s">
        <v>27</v>
      </c>
      <c r="D214" s="101"/>
      <c r="E214" s="101" t="s">
        <v>132</v>
      </c>
      <c r="F214" s="108" t="s">
        <v>501</v>
      </c>
      <c r="G214" s="117" t="s">
        <v>90</v>
      </c>
      <c r="H214" s="101" t="s">
        <v>134</v>
      </c>
      <c r="I214" s="101">
        <v>2023</v>
      </c>
      <c r="J214" s="101">
        <v>13425</v>
      </c>
      <c r="K214" s="146">
        <v>110056</v>
      </c>
      <c r="L214" s="236" t="s">
        <v>168</v>
      </c>
      <c r="M214" s="105" t="s">
        <v>132</v>
      </c>
      <c r="N214" s="115"/>
      <c r="O214" s="115"/>
      <c r="P214" s="115">
        <f t="shared" si="5"/>
        <v>0</v>
      </c>
      <c r="Q214" s="115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</row>
    <row r="215" spans="1:28" ht="36">
      <c r="A215" s="264">
        <v>40055934</v>
      </c>
      <c r="B215" s="107">
        <v>33</v>
      </c>
      <c r="C215" s="103" t="s">
        <v>27</v>
      </c>
      <c r="D215" s="101"/>
      <c r="E215" s="101" t="s">
        <v>132</v>
      </c>
      <c r="F215" s="108" t="s">
        <v>502</v>
      </c>
      <c r="G215" s="117" t="s">
        <v>86</v>
      </c>
      <c r="H215" s="101" t="s">
        <v>134</v>
      </c>
      <c r="I215" s="101">
        <v>2023</v>
      </c>
      <c r="J215" s="101">
        <v>13425</v>
      </c>
      <c r="K215" s="146">
        <v>110019</v>
      </c>
      <c r="L215" s="236" t="s">
        <v>195</v>
      </c>
      <c r="M215" s="105" t="s">
        <v>132</v>
      </c>
      <c r="N215" s="115"/>
      <c r="O215" s="115"/>
      <c r="P215" s="115">
        <f t="shared" si="5"/>
        <v>0</v>
      </c>
      <c r="Q215" s="115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</row>
    <row r="216" spans="1:28" ht="36">
      <c r="A216" s="264">
        <v>40055971</v>
      </c>
      <c r="B216" s="107">
        <v>33</v>
      </c>
      <c r="C216" s="103" t="s">
        <v>27</v>
      </c>
      <c r="D216" s="101"/>
      <c r="E216" s="101" t="s">
        <v>132</v>
      </c>
      <c r="F216" s="108" t="s">
        <v>503</v>
      </c>
      <c r="G216" s="101" t="s">
        <v>85</v>
      </c>
      <c r="H216" s="101" t="s">
        <v>134</v>
      </c>
      <c r="I216" s="101">
        <v>2023</v>
      </c>
      <c r="J216" s="101">
        <v>13425</v>
      </c>
      <c r="K216" s="146">
        <v>110057</v>
      </c>
      <c r="L216" s="236" t="s">
        <v>236</v>
      </c>
      <c r="M216" s="105" t="s">
        <v>132</v>
      </c>
      <c r="N216" s="115"/>
      <c r="O216" s="115"/>
      <c r="P216" s="115">
        <f t="shared" si="5"/>
        <v>0</v>
      </c>
      <c r="Q216" s="115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</row>
    <row r="217" spans="1:28" ht="36">
      <c r="A217" s="264">
        <v>40056663</v>
      </c>
      <c r="B217" s="107">
        <v>33</v>
      </c>
      <c r="C217" s="103" t="s">
        <v>27</v>
      </c>
      <c r="D217" s="101"/>
      <c r="E217" s="101" t="s">
        <v>132</v>
      </c>
      <c r="F217" s="108" t="s">
        <v>504</v>
      </c>
      <c r="G217" s="117" t="s">
        <v>98</v>
      </c>
      <c r="H217" s="101" t="s">
        <v>134</v>
      </c>
      <c r="I217" s="101">
        <v>2023</v>
      </c>
      <c r="J217" s="101">
        <v>13425</v>
      </c>
      <c r="K217" s="146">
        <v>109776</v>
      </c>
      <c r="L217" s="236" t="s">
        <v>151</v>
      </c>
      <c r="M217" s="105" t="s">
        <v>132</v>
      </c>
      <c r="N217" s="115"/>
      <c r="O217" s="115"/>
      <c r="P217" s="115">
        <f t="shared" si="5"/>
        <v>0</v>
      </c>
      <c r="Q217" s="115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</row>
    <row r="218" spans="1:28" ht="36">
      <c r="A218" s="264">
        <v>40055995</v>
      </c>
      <c r="B218" s="107">
        <v>33</v>
      </c>
      <c r="C218" s="103" t="s">
        <v>27</v>
      </c>
      <c r="D218" s="101"/>
      <c r="E218" s="101" t="s">
        <v>132</v>
      </c>
      <c r="F218" s="108" t="s">
        <v>505</v>
      </c>
      <c r="G218" s="117" t="s">
        <v>93</v>
      </c>
      <c r="H218" s="101" t="s">
        <v>134</v>
      </c>
      <c r="I218" s="101">
        <v>2023</v>
      </c>
      <c r="J218" s="101">
        <v>13425</v>
      </c>
      <c r="K218" s="146">
        <v>110057</v>
      </c>
      <c r="L218" s="236" t="s">
        <v>162</v>
      </c>
      <c r="M218" s="105" t="s">
        <v>132</v>
      </c>
      <c r="N218" s="115"/>
      <c r="O218" s="115"/>
      <c r="P218" s="115">
        <f t="shared" si="5"/>
        <v>0</v>
      </c>
      <c r="Q218" s="115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</row>
    <row r="219" spans="1:28" ht="36">
      <c r="A219" s="264">
        <v>40055900</v>
      </c>
      <c r="B219" s="107">
        <v>33</v>
      </c>
      <c r="C219" s="103" t="s">
        <v>27</v>
      </c>
      <c r="D219" s="101"/>
      <c r="E219" s="101" t="s">
        <v>132</v>
      </c>
      <c r="F219" s="108" t="s">
        <v>506</v>
      </c>
      <c r="G219" s="117" t="s">
        <v>94</v>
      </c>
      <c r="H219" s="101" t="s">
        <v>134</v>
      </c>
      <c r="I219" s="101">
        <v>2023</v>
      </c>
      <c r="J219" s="101">
        <v>13425</v>
      </c>
      <c r="K219" s="146">
        <v>110057</v>
      </c>
      <c r="L219" s="236" t="s">
        <v>220</v>
      </c>
      <c r="M219" s="105" t="s">
        <v>132</v>
      </c>
      <c r="N219" s="115"/>
      <c r="O219" s="115"/>
      <c r="P219" s="115">
        <f t="shared" si="5"/>
        <v>0</v>
      </c>
      <c r="Q219" s="115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</row>
    <row r="220" spans="1:28" ht="36">
      <c r="A220" s="264">
        <v>40055918</v>
      </c>
      <c r="B220" s="107">
        <v>33</v>
      </c>
      <c r="C220" s="103" t="s">
        <v>27</v>
      </c>
      <c r="D220" s="101"/>
      <c r="E220" s="101" t="s">
        <v>132</v>
      </c>
      <c r="F220" s="108" t="s">
        <v>507</v>
      </c>
      <c r="G220" s="117" t="s">
        <v>100</v>
      </c>
      <c r="H220" s="101" t="s">
        <v>134</v>
      </c>
      <c r="I220" s="101">
        <v>2023</v>
      </c>
      <c r="J220" s="101">
        <v>13425</v>
      </c>
      <c r="K220" s="146">
        <v>110057</v>
      </c>
      <c r="L220" s="236" t="s">
        <v>199</v>
      </c>
      <c r="M220" s="105" t="s">
        <v>132</v>
      </c>
      <c r="N220" s="115"/>
      <c r="O220" s="115"/>
      <c r="P220" s="115">
        <f t="shared" si="5"/>
        <v>0</v>
      </c>
      <c r="Q220" s="115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</row>
    <row r="221" spans="1:28" ht="36">
      <c r="A221" s="264">
        <v>40055817</v>
      </c>
      <c r="B221" s="107">
        <v>33</v>
      </c>
      <c r="C221" s="103" t="s">
        <v>27</v>
      </c>
      <c r="D221" s="101"/>
      <c r="E221" s="101" t="s">
        <v>132</v>
      </c>
      <c r="F221" s="108" t="s">
        <v>508</v>
      </c>
      <c r="G221" s="117" t="s">
        <v>87</v>
      </c>
      <c r="H221" s="101" t="s">
        <v>134</v>
      </c>
      <c r="I221" s="101">
        <v>2023</v>
      </c>
      <c r="J221" s="101">
        <v>13425</v>
      </c>
      <c r="K221" s="146">
        <v>110057</v>
      </c>
      <c r="L221" s="236" t="s">
        <v>223</v>
      </c>
      <c r="M221" s="105" t="s">
        <v>132</v>
      </c>
      <c r="N221" s="115"/>
      <c r="O221" s="115"/>
      <c r="P221" s="115">
        <f t="shared" ref="P221:P282" si="6">SUM(Q221:AB221)</f>
        <v>0</v>
      </c>
      <c r="Q221" s="115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</row>
    <row r="222" spans="1:28" ht="36">
      <c r="A222" s="264">
        <v>40058519</v>
      </c>
      <c r="B222" s="107">
        <v>33</v>
      </c>
      <c r="C222" s="103" t="s">
        <v>27</v>
      </c>
      <c r="D222" s="101"/>
      <c r="E222" s="101" t="s">
        <v>132</v>
      </c>
      <c r="F222" s="108" t="s">
        <v>509</v>
      </c>
      <c r="G222" s="117" t="s">
        <v>82</v>
      </c>
      <c r="H222" s="101" t="s">
        <v>134</v>
      </c>
      <c r="I222" s="101">
        <v>2023</v>
      </c>
      <c r="J222" s="101">
        <v>13594</v>
      </c>
      <c r="K222" s="146">
        <v>220165</v>
      </c>
      <c r="L222" s="236" t="s">
        <v>142</v>
      </c>
      <c r="M222" s="105" t="s">
        <v>132</v>
      </c>
      <c r="N222" s="115"/>
      <c r="O222" s="115"/>
      <c r="P222" s="115">
        <f t="shared" si="6"/>
        <v>0</v>
      </c>
      <c r="Q222" s="115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</row>
    <row r="223" spans="1:28" ht="36">
      <c r="A223" s="264">
        <v>40058456</v>
      </c>
      <c r="B223" s="107">
        <v>33</v>
      </c>
      <c r="C223" s="103" t="s">
        <v>27</v>
      </c>
      <c r="D223" s="101"/>
      <c r="E223" s="101" t="s">
        <v>132</v>
      </c>
      <c r="F223" s="108" t="s">
        <v>510</v>
      </c>
      <c r="G223" s="117" t="s">
        <v>97</v>
      </c>
      <c r="H223" s="101" t="s">
        <v>134</v>
      </c>
      <c r="I223" s="101">
        <v>2023</v>
      </c>
      <c r="J223" s="101">
        <v>13594</v>
      </c>
      <c r="K223" s="146">
        <v>284180</v>
      </c>
      <c r="L223" s="236" t="s">
        <v>180</v>
      </c>
      <c r="M223" s="105" t="s">
        <v>132</v>
      </c>
      <c r="N223" s="115"/>
      <c r="O223" s="115"/>
      <c r="P223" s="115">
        <f t="shared" si="6"/>
        <v>0</v>
      </c>
      <c r="Q223" s="115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</row>
    <row r="224" spans="1:28" ht="36">
      <c r="A224" s="264">
        <v>40058528</v>
      </c>
      <c r="B224" s="107">
        <v>33</v>
      </c>
      <c r="C224" s="103" t="s">
        <v>27</v>
      </c>
      <c r="D224" s="101"/>
      <c r="E224" s="101" t="s">
        <v>132</v>
      </c>
      <c r="F224" s="108" t="s">
        <v>511</v>
      </c>
      <c r="G224" s="117" t="s">
        <v>90</v>
      </c>
      <c r="H224" s="101" t="s">
        <v>134</v>
      </c>
      <c r="I224" s="101">
        <v>2023</v>
      </c>
      <c r="J224" s="101">
        <v>13594</v>
      </c>
      <c r="K224" s="146">
        <v>307830</v>
      </c>
      <c r="L224" s="236" t="s">
        <v>168</v>
      </c>
      <c r="M224" s="105" t="s">
        <v>132</v>
      </c>
      <c r="N224" s="115"/>
      <c r="O224" s="115"/>
      <c r="P224" s="115">
        <f t="shared" si="6"/>
        <v>0</v>
      </c>
      <c r="Q224" s="115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</row>
    <row r="225" spans="1:28" ht="36">
      <c r="A225" s="264">
        <v>40058506</v>
      </c>
      <c r="B225" s="107">
        <v>33</v>
      </c>
      <c r="C225" s="103" t="s">
        <v>27</v>
      </c>
      <c r="D225" s="101"/>
      <c r="E225" s="101" t="s">
        <v>132</v>
      </c>
      <c r="F225" s="108" t="s">
        <v>512</v>
      </c>
      <c r="G225" s="117" t="s">
        <v>84</v>
      </c>
      <c r="H225" s="101" t="s">
        <v>134</v>
      </c>
      <c r="I225" s="101">
        <v>2023</v>
      </c>
      <c r="J225" s="101">
        <v>13594</v>
      </c>
      <c r="K225" s="146">
        <v>248157</v>
      </c>
      <c r="L225" s="236" t="s">
        <v>157</v>
      </c>
      <c r="M225" s="105" t="s">
        <v>132</v>
      </c>
      <c r="N225" s="115"/>
      <c r="O225" s="115"/>
      <c r="P225" s="115">
        <f t="shared" si="6"/>
        <v>0</v>
      </c>
      <c r="Q225" s="115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</row>
    <row r="226" spans="1:28" ht="36">
      <c r="A226" s="264">
        <v>40058588</v>
      </c>
      <c r="B226" s="107">
        <v>33</v>
      </c>
      <c r="C226" s="103" t="s">
        <v>27</v>
      </c>
      <c r="D226" s="101"/>
      <c r="E226" s="101" t="s">
        <v>132</v>
      </c>
      <c r="F226" s="108" t="s">
        <v>513</v>
      </c>
      <c r="G226" s="117" t="s">
        <v>99</v>
      </c>
      <c r="H226" s="101" t="s">
        <v>185</v>
      </c>
      <c r="I226" s="101">
        <v>2023</v>
      </c>
      <c r="J226" s="101">
        <v>13594</v>
      </c>
      <c r="K226" s="146">
        <v>269829</v>
      </c>
      <c r="L226" s="236" t="s">
        <v>226</v>
      </c>
      <c r="M226" s="105" t="s">
        <v>132</v>
      </c>
      <c r="N226" s="115"/>
      <c r="O226" s="115"/>
      <c r="P226" s="115">
        <f t="shared" si="6"/>
        <v>0</v>
      </c>
      <c r="Q226" s="115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</row>
    <row r="227" spans="1:28" ht="36">
      <c r="A227" s="264">
        <v>40058536</v>
      </c>
      <c r="B227" s="107">
        <v>33</v>
      </c>
      <c r="C227" s="103" t="s">
        <v>27</v>
      </c>
      <c r="D227" s="101"/>
      <c r="E227" s="101" t="s">
        <v>132</v>
      </c>
      <c r="F227" s="108" t="s">
        <v>514</v>
      </c>
      <c r="G227" s="101" t="s">
        <v>85</v>
      </c>
      <c r="H227" s="101" t="s">
        <v>185</v>
      </c>
      <c r="I227" s="101">
        <v>2023</v>
      </c>
      <c r="J227" s="101">
        <v>13594</v>
      </c>
      <c r="K227" s="146">
        <v>253295</v>
      </c>
      <c r="L227" s="236" t="s">
        <v>236</v>
      </c>
      <c r="M227" s="105" t="s">
        <v>132</v>
      </c>
      <c r="N227" s="115"/>
      <c r="O227" s="115"/>
      <c r="P227" s="115">
        <f t="shared" si="6"/>
        <v>0</v>
      </c>
      <c r="Q227" s="115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</row>
    <row r="228" spans="1:28" ht="36">
      <c r="A228" s="264">
        <v>40058477</v>
      </c>
      <c r="B228" s="107">
        <v>33</v>
      </c>
      <c r="C228" s="103" t="s">
        <v>27</v>
      </c>
      <c r="D228" s="101"/>
      <c r="E228" s="101" t="s">
        <v>132</v>
      </c>
      <c r="F228" s="108" t="s">
        <v>515</v>
      </c>
      <c r="G228" s="101" t="s">
        <v>83</v>
      </c>
      <c r="H228" s="101" t="s">
        <v>134</v>
      </c>
      <c r="I228" s="101">
        <v>2023</v>
      </c>
      <c r="J228" s="101">
        <v>13594</v>
      </c>
      <c r="K228" s="146">
        <v>242932</v>
      </c>
      <c r="L228" s="236" t="s">
        <v>148</v>
      </c>
      <c r="M228" s="105" t="s">
        <v>132</v>
      </c>
      <c r="N228" s="115"/>
      <c r="O228" s="115"/>
      <c r="P228" s="115">
        <f t="shared" si="6"/>
        <v>0</v>
      </c>
      <c r="Q228" s="115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</row>
    <row r="229" spans="1:28" ht="36">
      <c r="A229" s="264">
        <v>40058586</v>
      </c>
      <c r="B229" s="107">
        <v>33</v>
      </c>
      <c r="C229" s="103" t="s">
        <v>27</v>
      </c>
      <c r="D229" s="101"/>
      <c r="E229" s="101" t="s">
        <v>132</v>
      </c>
      <c r="F229" s="108" t="s">
        <v>516</v>
      </c>
      <c r="G229" s="117" t="s">
        <v>98</v>
      </c>
      <c r="H229" s="101" t="s">
        <v>134</v>
      </c>
      <c r="I229" s="101">
        <v>2023</v>
      </c>
      <c r="J229" s="101">
        <v>13594</v>
      </c>
      <c r="K229" s="146">
        <v>248195</v>
      </c>
      <c r="L229" s="236" t="s">
        <v>151</v>
      </c>
      <c r="M229" s="105" t="s">
        <v>132</v>
      </c>
      <c r="N229" s="115"/>
      <c r="O229" s="115"/>
      <c r="P229" s="115">
        <f t="shared" si="6"/>
        <v>0</v>
      </c>
      <c r="Q229" s="115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</row>
    <row r="230" spans="1:28" ht="36">
      <c r="A230" s="264">
        <v>40058516</v>
      </c>
      <c r="B230" s="107">
        <v>33</v>
      </c>
      <c r="C230" s="103" t="s">
        <v>27</v>
      </c>
      <c r="D230" s="101"/>
      <c r="E230" s="101" t="s">
        <v>132</v>
      </c>
      <c r="F230" s="108" t="s">
        <v>517</v>
      </c>
      <c r="G230" s="101" t="s">
        <v>92</v>
      </c>
      <c r="H230" s="101" t="s">
        <v>134</v>
      </c>
      <c r="I230" s="101">
        <v>2023</v>
      </c>
      <c r="J230" s="101">
        <v>13594</v>
      </c>
      <c r="K230" s="146">
        <v>289575</v>
      </c>
      <c r="L230" s="236" t="s">
        <v>159</v>
      </c>
      <c r="M230" s="105" t="s">
        <v>132</v>
      </c>
      <c r="N230" s="115"/>
      <c r="O230" s="115"/>
      <c r="P230" s="115">
        <f t="shared" si="6"/>
        <v>0</v>
      </c>
      <c r="Q230" s="115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</row>
    <row r="231" spans="1:28" ht="36">
      <c r="A231" s="264">
        <v>40058527</v>
      </c>
      <c r="B231" s="107">
        <v>33</v>
      </c>
      <c r="C231" s="103" t="s">
        <v>27</v>
      </c>
      <c r="D231" s="101"/>
      <c r="E231" s="101" t="s">
        <v>132</v>
      </c>
      <c r="F231" s="108" t="s">
        <v>518</v>
      </c>
      <c r="G231" s="117" t="s">
        <v>91</v>
      </c>
      <c r="H231" s="101" t="s">
        <v>134</v>
      </c>
      <c r="I231" s="101">
        <v>2023</v>
      </c>
      <c r="J231" s="101">
        <v>13594</v>
      </c>
      <c r="K231" s="146">
        <v>294448</v>
      </c>
      <c r="L231" s="236" t="s">
        <v>138</v>
      </c>
      <c r="M231" s="105" t="s">
        <v>132</v>
      </c>
      <c r="N231" s="115"/>
      <c r="O231" s="115"/>
      <c r="P231" s="115">
        <f t="shared" si="6"/>
        <v>0</v>
      </c>
      <c r="Q231" s="115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</row>
    <row r="232" spans="1:28" ht="36">
      <c r="A232" s="264">
        <v>40058570</v>
      </c>
      <c r="B232" s="107">
        <v>33</v>
      </c>
      <c r="C232" s="103" t="s">
        <v>27</v>
      </c>
      <c r="D232" s="101"/>
      <c r="E232" s="101" t="s">
        <v>132</v>
      </c>
      <c r="F232" s="108" t="s">
        <v>519</v>
      </c>
      <c r="G232" s="117" t="s">
        <v>86</v>
      </c>
      <c r="H232" s="101" t="s">
        <v>134</v>
      </c>
      <c r="I232" s="101">
        <v>2023</v>
      </c>
      <c r="J232" s="101">
        <v>13594</v>
      </c>
      <c r="K232" s="146">
        <v>247214</v>
      </c>
      <c r="L232" s="236" t="s">
        <v>195</v>
      </c>
      <c r="M232" s="105" t="s">
        <v>132</v>
      </c>
      <c r="N232" s="115"/>
      <c r="O232" s="115"/>
      <c r="P232" s="115">
        <f t="shared" si="6"/>
        <v>0</v>
      </c>
      <c r="Q232" s="115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</row>
    <row r="233" spans="1:28" ht="36">
      <c r="A233" s="264">
        <v>40058529</v>
      </c>
      <c r="B233" s="107">
        <v>33</v>
      </c>
      <c r="C233" s="103" t="s">
        <v>27</v>
      </c>
      <c r="D233" s="101"/>
      <c r="E233" s="101" t="s">
        <v>132</v>
      </c>
      <c r="F233" s="108" t="s">
        <v>520</v>
      </c>
      <c r="G233" s="117" t="s">
        <v>93</v>
      </c>
      <c r="H233" s="101" t="s">
        <v>185</v>
      </c>
      <c r="I233" s="101">
        <v>2023</v>
      </c>
      <c r="J233" s="101">
        <v>13594</v>
      </c>
      <c r="K233" s="146">
        <v>290000</v>
      </c>
      <c r="L233" s="236" t="s">
        <v>162</v>
      </c>
      <c r="M233" s="105" t="s">
        <v>132</v>
      </c>
      <c r="N233" s="115"/>
      <c r="O233" s="115"/>
      <c r="P233" s="115">
        <f t="shared" si="6"/>
        <v>0</v>
      </c>
      <c r="Q233" s="115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</row>
    <row r="234" spans="1:28" ht="36">
      <c r="A234" s="264">
        <v>40058569</v>
      </c>
      <c r="B234" s="107">
        <v>33</v>
      </c>
      <c r="C234" s="103" t="s">
        <v>27</v>
      </c>
      <c r="D234" s="101"/>
      <c r="E234" s="101" t="s">
        <v>132</v>
      </c>
      <c r="F234" s="108" t="s">
        <v>521</v>
      </c>
      <c r="G234" s="117" t="s">
        <v>94</v>
      </c>
      <c r="H234" s="101" t="s">
        <v>134</v>
      </c>
      <c r="I234" s="101">
        <v>2023</v>
      </c>
      <c r="J234" s="101">
        <v>13594</v>
      </c>
      <c r="K234" s="146">
        <v>278421</v>
      </c>
      <c r="L234" s="236" t="s">
        <v>220</v>
      </c>
      <c r="M234" s="105" t="s">
        <v>132</v>
      </c>
      <c r="N234" s="115"/>
      <c r="O234" s="115"/>
      <c r="P234" s="115">
        <f t="shared" si="6"/>
        <v>0</v>
      </c>
      <c r="Q234" s="115"/>
      <c r="R234" s="115"/>
      <c r="S234" s="115"/>
      <c r="T234" s="115"/>
      <c r="U234" s="115"/>
      <c r="V234" s="115"/>
      <c r="W234" s="115"/>
      <c r="X234" s="115"/>
      <c r="Y234" s="115"/>
      <c r="Z234" s="115"/>
      <c r="AA234" s="115"/>
      <c r="AB234" s="115"/>
    </row>
    <row r="235" spans="1:28" ht="36">
      <c r="A235" s="264">
        <v>40058547</v>
      </c>
      <c r="B235" s="107">
        <v>33</v>
      </c>
      <c r="C235" s="103" t="s">
        <v>27</v>
      </c>
      <c r="D235" s="101"/>
      <c r="E235" s="101" t="s">
        <v>132</v>
      </c>
      <c r="F235" s="108" t="s">
        <v>522</v>
      </c>
      <c r="G235" s="117" t="s">
        <v>100</v>
      </c>
      <c r="H235" s="101" t="s">
        <v>276</v>
      </c>
      <c r="I235" s="101">
        <v>2023</v>
      </c>
      <c r="J235" s="101">
        <v>13594</v>
      </c>
      <c r="K235" s="146">
        <v>275296</v>
      </c>
      <c r="L235" s="236" t="s">
        <v>199</v>
      </c>
      <c r="M235" s="105" t="s">
        <v>132</v>
      </c>
      <c r="N235" s="115"/>
      <c r="O235" s="115"/>
      <c r="P235" s="115">
        <f t="shared" si="6"/>
        <v>0</v>
      </c>
      <c r="Q235" s="115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</row>
    <row r="236" spans="1:28" ht="36">
      <c r="A236" s="264">
        <v>40058526</v>
      </c>
      <c r="B236" s="107">
        <v>33</v>
      </c>
      <c r="C236" s="103" t="s">
        <v>27</v>
      </c>
      <c r="D236" s="101"/>
      <c r="E236" s="101" t="s">
        <v>132</v>
      </c>
      <c r="F236" s="108" t="s">
        <v>523</v>
      </c>
      <c r="G236" s="117" t="s">
        <v>87</v>
      </c>
      <c r="H236" s="101" t="s">
        <v>134</v>
      </c>
      <c r="I236" s="101">
        <v>2023</v>
      </c>
      <c r="J236" s="101">
        <v>13594</v>
      </c>
      <c r="K236" s="146">
        <v>249794</v>
      </c>
      <c r="L236" s="236" t="s">
        <v>223</v>
      </c>
      <c r="M236" s="105" t="s">
        <v>132</v>
      </c>
      <c r="N236" s="115"/>
      <c r="O236" s="115"/>
      <c r="P236" s="115">
        <f t="shared" si="6"/>
        <v>0</v>
      </c>
      <c r="Q236" s="115"/>
      <c r="R236" s="115"/>
      <c r="S236" s="115"/>
      <c r="T236" s="115"/>
      <c r="U236" s="115"/>
      <c r="V236" s="115"/>
      <c r="W236" s="115"/>
      <c r="X236" s="115"/>
      <c r="Y236" s="115"/>
      <c r="Z236" s="115"/>
      <c r="AA236" s="115"/>
      <c r="AB236" s="115"/>
    </row>
    <row r="237" spans="1:28" ht="24">
      <c r="A237" s="266">
        <v>40057782</v>
      </c>
      <c r="B237" s="101">
        <v>29</v>
      </c>
      <c r="C237" s="103" t="s">
        <v>27</v>
      </c>
      <c r="D237" s="103"/>
      <c r="E237" s="101" t="s">
        <v>132</v>
      </c>
      <c r="F237" s="108" t="s">
        <v>524</v>
      </c>
      <c r="G237" s="117" t="s">
        <v>99</v>
      </c>
      <c r="H237" s="101" t="s">
        <v>134</v>
      </c>
      <c r="I237" s="101">
        <v>2023</v>
      </c>
      <c r="J237" s="101">
        <v>13611</v>
      </c>
      <c r="K237" s="146">
        <v>802710</v>
      </c>
      <c r="L237" s="236" t="s">
        <v>482</v>
      </c>
      <c r="M237" s="105" t="s">
        <v>483</v>
      </c>
      <c r="N237" s="115">
        <v>1000</v>
      </c>
      <c r="O237" s="115"/>
      <c r="P237" s="115">
        <f t="shared" si="6"/>
        <v>0</v>
      </c>
      <c r="Q237" s="115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  <c r="AB237" s="115"/>
    </row>
    <row r="238" spans="1:28" ht="24">
      <c r="A238" s="264">
        <v>40050265</v>
      </c>
      <c r="B238" s="103" t="s">
        <v>525</v>
      </c>
      <c r="C238" s="103" t="s">
        <v>27</v>
      </c>
      <c r="D238" s="265"/>
      <c r="E238" s="101" t="s">
        <v>132</v>
      </c>
      <c r="F238" s="108" t="s">
        <v>526</v>
      </c>
      <c r="G238" s="117" t="s">
        <v>93</v>
      </c>
      <c r="H238" s="101" t="s">
        <v>204</v>
      </c>
      <c r="I238" s="101">
        <v>2023</v>
      </c>
      <c r="J238" s="101">
        <v>13066</v>
      </c>
      <c r="K238" s="146">
        <v>168603</v>
      </c>
      <c r="L238" s="236" t="s">
        <v>162</v>
      </c>
      <c r="M238" s="101" t="s">
        <v>340</v>
      </c>
      <c r="N238" s="115">
        <v>1000</v>
      </c>
      <c r="O238" s="115">
        <v>25000</v>
      </c>
      <c r="P238" s="115">
        <f t="shared" si="6"/>
        <v>0</v>
      </c>
      <c r="Q238" s="115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5"/>
    </row>
    <row r="239" spans="1:28" ht="36">
      <c r="A239" s="226">
        <v>40053339</v>
      </c>
      <c r="B239" s="101">
        <v>29</v>
      </c>
      <c r="C239" s="103" t="s">
        <v>27</v>
      </c>
      <c r="D239" s="103"/>
      <c r="E239" s="101" t="s">
        <v>132</v>
      </c>
      <c r="F239" s="108" t="s">
        <v>527</v>
      </c>
      <c r="G239" s="101" t="s">
        <v>92</v>
      </c>
      <c r="H239" s="101" t="s">
        <v>134</v>
      </c>
      <c r="I239" s="101">
        <v>2023</v>
      </c>
      <c r="J239" s="101">
        <v>13611</v>
      </c>
      <c r="K239" s="146">
        <v>798505</v>
      </c>
      <c r="L239" s="236" t="s">
        <v>482</v>
      </c>
      <c r="M239" s="105" t="s">
        <v>132</v>
      </c>
      <c r="N239" s="115">
        <v>1000</v>
      </c>
      <c r="O239" s="115"/>
      <c r="P239" s="115">
        <f t="shared" si="6"/>
        <v>0</v>
      </c>
      <c r="Q239" s="115"/>
      <c r="R239" s="115"/>
      <c r="S239" s="115"/>
      <c r="T239" s="115"/>
      <c r="U239" s="115"/>
      <c r="V239" s="115"/>
      <c r="W239" s="115"/>
      <c r="X239" s="115"/>
      <c r="Y239" s="115"/>
      <c r="Z239" s="115"/>
      <c r="AA239" s="115"/>
      <c r="AB239" s="115"/>
    </row>
    <row r="240" spans="1:28" ht="24">
      <c r="A240" s="264">
        <v>40045425</v>
      </c>
      <c r="B240" s="107">
        <v>29</v>
      </c>
      <c r="C240" s="103" t="s">
        <v>27</v>
      </c>
      <c r="D240" s="265"/>
      <c r="E240" s="101" t="s">
        <v>132</v>
      </c>
      <c r="F240" s="108" t="s">
        <v>528</v>
      </c>
      <c r="G240" s="101" t="s">
        <v>83</v>
      </c>
      <c r="H240" s="101" t="s">
        <v>134</v>
      </c>
      <c r="I240" s="101">
        <v>2023</v>
      </c>
      <c r="J240" s="101">
        <v>13145</v>
      </c>
      <c r="K240" s="146">
        <v>326790</v>
      </c>
      <c r="L240" s="236" t="s">
        <v>482</v>
      </c>
      <c r="M240" s="105" t="s">
        <v>483</v>
      </c>
      <c r="N240" s="115">
        <v>326790</v>
      </c>
      <c r="O240" s="115">
        <v>1000</v>
      </c>
      <c r="P240" s="115">
        <f t="shared" si="6"/>
        <v>0</v>
      </c>
      <c r="Q240" s="115"/>
      <c r="R240" s="115"/>
      <c r="S240" s="115"/>
      <c r="T240" s="115"/>
      <c r="U240" s="115"/>
      <c r="V240" s="115"/>
      <c r="W240" s="115"/>
      <c r="X240" s="115"/>
      <c r="Y240" s="115"/>
      <c r="Z240" s="115"/>
      <c r="AA240" s="115"/>
      <c r="AB240" s="115"/>
    </row>
    <row r="241" spans="1:40" ht="36">
      <c r="A241" s="227">
        <v>40056940</v>
      </c>
      <c r="B241" s="101">
        <v>29</v>
      </c>
      <c r="C241" s="103" t="s">
        <v>27</v>
      </c>
      <c r="D241" s="103"/>
      <c r="E241" s="101" t="s">
        <v>132</v>
      </c>
      <c r="F241" s="108" t="s">
        <v>529</v>
      </c>
      <c r="G241" s="117" t="s">
        <v>98</v>
      </c>
      <c r="H241" s="101" t="s">
        <v>134</v>
      </c>
      <c r="I241" s="101">
        <v>2024</v>
      </c>
      <c r="J241" s="101">
        <v>13835</v>
      </c>
      <c r="K241" s="146">
        <v>173740</v>
      </c>
      <c r="L241" s="101" t="s">
        <v>216</v>
      </c>
      <c r="M241" s="105" t="s">
        <v>268</v>
      </c>
      <c r="N241" s="115">
        <v>1000</v>
      </c>
      <c r="O241" s="115">
        <v>25000</v>
      </c>
      <c r="P241" s="115">
        <f t="shared" si="6"/>
        <v>0</v>
      </c>
      <c r="Q241" s="115"/>
      <c r="R241" s="115"/>
      <c r="S241" s="115"/>
      <c r="T241" s="115"/>
      <c r="U241" s="115"/>
      <c r="V241" s="115"/>
      <c r="W241" s="115"/>
      <c r="X241" s="115"/>
      <c r="Y241" s="115"/>
      <c r="Z241" s="115"/>
      <c r="AA241" s="115"/>
      <c r="AB241" s="115"/>
    </row>
    <row r="242" spans="1:40" ht="36">
      <c r="A242" s="226">
        <v>40033939</v>
      </c>
      <c r="B242" s="107">
        <v>29</v>
      </c>
      <c r="C242" s="103" t="s">
        <v>38</v>
      </c>
      <c r="D242" s="265"/>
      <c r="E242" s="101" t="s">
        <v>132</v>
      </c>
      <c r="F242" s="108" t="s">
        <v>530</v>
      </c>
      <c r="G242" s="117" t="s">
        <v>84</v>
      </c>
      <c r="H242" s="101" t="s">
        <v>147</v>
      </c>
      <c r="I242" s="101">
        <v>2022</v>
      </c>
      <c r="J242" s="101">
        <v>12627</v>
      </c>
      <c r="K242" s="146">
        <v>1417677</v>
      </c>
      <c r="L242" s="101" t="s">
        <v>173</v>
      </c>
      <c r="M242" s="105" t="s">
        <v>132</v>
      </c>
      <c r="N242" s="115">
        <v>395932.14199999999</v>
      </c>
      <c r="O242" s="115">
        <v>343182</v>
      </c>
      <c r="P242" s="115">
        <f t="shared" si="6"/>
        <v>0</v>
      </c>
      <c r="Q242" s="115"/>
      <c r="R242" s="115"/>
      <c r="S242" s="115"/>
      <c r="T242" s="115"/>
      <c r="U242" s="115"/>
      <c r="V242" s="115"/>
      <c r="W242" s="115"/>
      <c r="X242" s="115"/>
      <c r="Y242" s="115"/>
      <c r="Z242" s="115"/>
      <c r="AA242" s="115"/>
      <c r="AB242" s="115"/>
    </row>
    <row r="243" spans="1:40" ht="36">
      <c r="A243" s="264">
        <v>40047299</v>
      </c>
      <c r="B243" s="103" t="s">
        <v>525</v>
      </c>
      <c r="C243" s="103" t="s">
        <v>27</v>
      </c>
      <c r="D243" s="265"/>
      <c r="E243" s="101" t="s">
        <v>132</v>
      </c>
      <c r="F243" s="108" t="s">
        <v>531</v>
      </c>
      <c r="G243" s="117" t="s">
        <v>93</v>
      </c>
      <c r="H243" s="101" t="s">
        <v>276</v>
      </c>
      <c r="I243" s="101">
        <v>2023</v>
      </c>
      <c r="J243" s="101">
        <v>13066</v>
      </c>
      <c r="K243" s="146">
        <v>633293</v>
      </c>
      <c r="L243" s="239" t="s">
        <v>162</v>
      </c>
      <c r="M243" s="101" t="s">
        <v>340</v>
      </c>
      <c r="N243" s="115">
        <v>1000</v>
      </c>
      <c r="O243" s="115">
        <v>1000</v>
      </c>
      <c r="P243" s="115">
        <f t="shared" si="6"/>
        <v>0</v>
      </c>
      <c r="Q243" s="115"/>
      <c r="R243" s="115"/>
      <c r="S243" s="115"/>
      <c r="T243" s="115"/>
      <c r="U243" s="115"/>
      <c r="V243" s="115"/>
      <c r="W243" s="115"/>
      <c r="X243" s="115"/>
      <c r="Y243" s="115"/>
      <c r="Z243" s="115"/>
      <c r="AA243" s="115"/>
      <c r="AB243" s="115"/>
    </row>
    <row r="244" spans="1:40" ht="36">
      <c r="A244" s="64">
        <v>40017103</v>
      </c>
      <c r="B244" s="103" t="s">
        <v>525</v>
      </c>
      <c r="C244" s="103" t="s">
        <v>27</v>
      </c>
      <c r="D244" s="265"/>
      <c r="E244" s="101" t="s">
        <v>132</v>
      </c>
      <c r="F244" s="108" t="s">
        <v>532</v>
      </c>
      <c r="G244" s="101" t="s">
        <v>87</v>
      </c>
      <c r="H244" s="101" t="s">
        <v>276</v>
      </c>
      <c r="I244" s="101">
        <v>2020</v>
      </c>
      <c r="J244" s="101">
        <v>10766</v>
      </c>
      <c r="K244" s="146">
        <v>503715.86999999994</v>
      </c>
      <c r="L244" s="239" t="s">
        <v>482</v>
      </c>
      <c r="M244" s="105" t="s">
        <v>152</v>
      </c>
      <c r="N244" s="115">
        <v>440638</v>
      </c>
      <c r="O244" s="115">
        <v>1000</v>
      </c>
      <c r="P244" s="115">
        <f t="shared" si="6"/>
        <v>0</v>
      </c>
      <c r="Q244" s="115"/>
      <c r="R244" s="115"/>
      <c r="S244" s="115"/>
      <c r="T244" s="115"/>
      <c r="U244" s="115"/>
      <c r="V244" s="115"/>
      <c r="W244" s="115"/>
      <c r="X244" s="115"/>
      <c r="Y244" s="115"/>
      <c r="Z244" s="115"/>
      <c r="AA244" s="115"/>
      <c r="AB244" s="115"/>
    </row>
    <row r="245" spans="1:40" ht="36">
      <c r="A245" s="64">
        <v>40017103</v>
      </c>
      <c r="B245" s="103" t="s">
        <v>525</v>
      </c>
      <c r="C245" s="103" t="s">
        <v>38</v>
      </c>
      <c r="D245" s="265"/>
      <c r="E245" s="101" t="s">
        <v>132</v>
      </c>
      <c r="F245" s="108" t="s">
        <v>533</v>
      </c>
      <c r="G245" s="101" t="s">
        <v>87</v>
      </c>
      <c r="H245" s="101" t="s">
        <v>276</v>
      </c>
      <c r="I245" s="101">
        <v>2020</v>
      </c>
      <c r="J245" s="101">
        <v>10766</v>
      </c>
      <c r="K245" s="146">
        <v>503715.86999999994</v>
      </c>
      <c r="L245" s="239" t="s">
        <v>482</v>
      </c>
      <c r="M245" s="105" t="s">
        <v>152</v>
      </c>
      <c r="N245" s="115">
        <v>63078</v>
      </c>
      <c r="O245" s="115"/>
      <c r="P245" s="115">
        <f t="shared" si="6"/>
        <v>0</v>
      </c>
      <c r="Q245" s="115"/>
      <c r="R245" s="115"/>
      <c r="S245" s="115"/>
      <c r="T245" s="115"/>
      <c r="U245" s="115"/>
      <c r="V245" s="115"/>
      <c r="W245" s="115"/>
      <c r="X245" s="115"/>
      <c r="Y245" s="115"/>
      <c r="Z245" s="115"/>
      <c r="AA245" s="115"/>
      <c r="AB245" s="115"/>
    </row>
    <row r="246" spans="1:40" ht="36">
      <c r="A246" s="264">
        <v>40010393</v>
      </c>
      <c r="B246" s="107">
        <v>29</v>
      </c>
      <c r="C246" s="103" t="s">
        <v>27</v>
      </c>
      <c r="D246" s="101"/>
      <c r="E246" s="101" t="s">
        <v>132</v>
      </c>
      <c r="F246" s="108" t="s">
        <v>534</v>
      </c>
      <c r="G246" s="101" t="s">
        <v>83</v>
      </c>
      <c r="H246" s="101" t="s">
        <v>147</v>
      </c>
      <c r="I246" s="101">
        <v>2023</v>
      </c>
      <c r="J246" s="101">
        <v>13202</v>
      </c>
      <c r="K246" s="146">
        <v>224750</v>
      </c>
      <c r="L246" s="236" t="s">
        <v>482</v>
      </c>
      <c r="M246" s="105" t="s">
        <v>483</v>
      </c>
      <c r="N246" s="115">
        <v>224750</v>
      </c>
      <c r="O246" s="115"/>
      <c r="P246" s="115">
        <f t="shared" si="6"/>
        <v>0</v>
      </c>
      <c r="Q246" s="115"/>
      <c r="R246" s="115"/>
      <c r="S246" s="115"/>
      <c r="T246" s="115"/>
      <c r="U246" s="115"/>
      <c r="V246" s="115"/>
      <c r="W246" s="115"/>
      <c r="X246" s="115"/>
      <c r="Y246" s="115"/>
      <c r="Z246" s="115"/>
      <c r="AA246" s="115"/>
      <c r="AB246" s="115"/>
    </row>
    <row r="247" spans="1:40" ht="24">
      <c r="A247" s="264">
        <v>40008948</v>
      </c>
      <c r="B247" s="107">
        <v>31</v>
      </c>
      <c r="C247" s="103" t="s">
        <v>30</v>
      </c>
      <c r="D247" s="265"/>
      <c r="E247" s="101" t="s">
        <v>139</v>
      </c>
      <c r="F247" s="108" t="s">
        <v>535</v>
      </c>
      <c r="G247" s="101" t="s">
        <v>83</v>
      </c>
      <c r="H247" s="101" t="s">
        <v>185</v>
      </c>
      <c r="I247" s="101">
        <v>2023</v>
      </c>
      <c r="J247" s="101">
        <v>13145</v>
      </c>
      <c r="K247" s="146">
        <v>293521</v>
      </c>
      <c r="L247" s="239" t="s">
        <v>148</v>
      </c>
      <c r="M247" s="105" t="s">
        <v>490</v>
      </c>
      <c r="N247" s="115">
        <v>45000</v>
      </c>
      <c r="O247" s="115"/>
      <c r="P247" s="115">
        <f t="shared" si="6"/>
        <v>0</v>
      </c>
      <c r="Q247" s="115"/>
      <c r="R247" s="115"/>
      <c r="S247" s="115"/>
      <c r="T247" s="115"/>
      <c r="U247" s="115"/>
      <c r="V247" s="115"/>
      <c r="W247" s="115"/>
      <c r="X247" s="115"/>
      <c r="Y247" s="115"/>
      <c r="Z247" s="115"/>
      <c r="AA247" s="115"/>
      <c r="AB247" s="115"/>
    </row>
    <row r="248" spans="1:40">
      <c r="A248" s="226" t="s">
        <v>208</v>
      </c>
      <c r="B248" s="107">
        <v>32</v>
      </c>
      <c r="C248" s="103" t="s">
        <v>40</v>
      </c>
      <c r="D248" s="103"/>
      <c r="E248" s="101" t="s">
        <v>132</v>
      </c>
      <c r="F248" s="108" t="s">
        <v>536</v>
      </c>
      <c r="G248" s="101" t="s">
        <v>208</v>
      </c>
      <c r="H248" s="101" t="s">
        <v>208</v>
      </c>
      <c r="I248" s="101" t="s">
        <v>211</v>
      </c>
      <c r="J248" s="101" t="s">
        <v>211</v>
      </c>
      <c r="K248" s="117" t="s">
        <v>211</v>
      </c>
      <c r="L248" s="238" t="s">
        <v>208</v>
      </c>
      <c r="M248" s="105" t="s">
        <v>211</v>
      </c>
      <c r="N248" s="115"/>
      <c r="O248" s="115"/>
      <c r="P248" s="115">
        <f t="shared" si="6"/>
        <v>0</v>
      </c>
      <c r="Q248" s="115"/>
      <c r="R248" s="115"/>
      <c r="S248" s="115"/>
      <c r="T248" s="115"/>
      <c r="U248" s="115"/>
      <c r="V248" s="115"/>
      <c r="W248" s="115"/>
      <c r="X248" s="115"/>
      <c r="Y248" s="115"/>
      <c r="Z248" s="115"/>
      <c r="AA248" s="115"/>
      <c r="AB248" s="115"/>
    </row>
    <row r="249" spans="1:40">
      <c r="A249" s="226" t="s">
        <v>208</v>
      </c>
      <c r="B249" s="101">
        <v>26</v>
      </c>
      <c r="C249" s="103" t="s">
        <v>30</v>
      </c>
      <c r="D249" s="103"/>
      <c r="E249" s="107" t="s">
        <v>208</v>
      </c>
      <c r="F249" s="108" t="s">
        <v>537</v>
      </c>
      <c r="G249" s="101" t="s">
        <v>103</v>
      </c>
      <c r="H249" s="101" t="s">
        <v>208</v>
      </c>
      <c r="I249" s="101">
        <v>2024</v>
      </c>
      <c r="J249" s="107" t="s">
        <v>208</v>
      </c>
      <c r="K249" s="117" t="s">
        <v>211</v>
      </c>
      <c r="L249" s="238" t="s">
        <v>208</v>
      </c>
      <c r="M249" s="105" t="s">
        <v>211</v>
      </c>
      <c r="N249" s="115"/>
      <c r="O249" s="115">
        <v>1209996</v>
      </c>
      <c r="P249" s="115">
        <f t="shared" si="6"/>
        <v>73739.588000000003</v>
      </c>
      <c r="Q249" s="115"/>
      <c r="R249" s="115"/>
      <c r="S249" s="115"/>
      <c r="T249" s="115"/>
      <c r="U249" s="115">
        <v>9996</v>
      </c>
      <c r="V249" s="115">
        <v>63743.588000000003</v>
      </c>
      <c r="W249" s="115"/>
      <c r="X249" s="115"/>
      <c r="Y249" s="115"/>
      <c r="Z249" s="115"/>
      <c r="AA249" s="115"/>
      <c r="AB249" s="115"/>
    </row>
    <row r="250" spans="1:40" ht="36">
      <c r="A250" s="226">
        <v>40002044</v>
      </c>
      <c r="B250" s="107">
        <v>31</v>
      </c>
      <c r="C250" s="103" t="s">
        <v>30</v>
      </c>
      <c r="D250" s="101"/>
      <c r="E250" s="101" t="s">
        <v>132</v>
      </c>
      <c r="F250" s="108" t="s">
        <v>538</v>
      </c>
      <c r="G250" s="101" t="s">
        <v>83</v>
      </c>
      <c r="H250" s="101" t="s">
        <v>161</v>
      </c>
      <c r="I250" s="101">
        <v>2022</v>
      </c>
      <c r="J250" s="101">
        <v>11932</v>
      </c>
      <c r="K250" s="142">
        <v>354708</v>
      </c>
      <c r="L250" s="239" t="s">
        <v>148</v>
      </c>
      <c r="M250" s="105" t="s">
        <v>539</v>
      </c>
      <c r="N250" s="115">
        <v>390249</v>
      </c>
      <c r="O250" s="115"/>
      <c r="P250" s="115">
        <f t="shared" si="6"/>
        <v>0</v>
      </c>
      <c r="Q250" s="115"/>
      <c r="R250" s="115"/>
      <c r="S250" s="115"/>
      <c r="T250" s="115"/>
      <c r="U250" s="115"/>
      <c r="V250" s="115"/>
      <c r="W250" s="115"/>
      <c r="X250" s="115"/>
      <c r="Y250" s="115"/>
      <c r="Z250" s="115"/>
      <c r="AA250" s="115"/>
      <c r="AB250" s="115"/>
    </row>
    <row r="251" spans="1:40" ht="36">
      <c r="A251" s="226">
        <v>40002619</v>
      </c>
      <c r="B251" s="107">
        <v>31</v>
      </c>
      <c r="C251" s="103" t="s">
        <v>30</v>
      </c>
      <c r="D251" s="101"/>
      <c r="E251" s="101" t="s">
        <v>132</v>
      </c>
      <c r="F251" s="108" t="s">
        <v>540</v>
      </c>
      <c r="G251" s="101" t="s">
        <v>83</v>
      </c>
      <c r="H251" s="101" t="s">
        <v>161</v>
      </c>
      <c r="I251" s="101">
        <v>2022</v>
      </c>
      <c r="J251" s="101">
        <v>11932</v>
      </c>
      <c r="K251" s="142">
        <v>239786</v>
      </c>
      <c r="L251" s="239" t="s">
        <v>148</v>
      </c>
      <c r="M251" s="105" t="s">
        <v>171</v>
      </c>
      <c r="N251" s="115"/>
      <c r="O251" s="115"/>
      <c r="P251" s="115">
        <f t="shared" si="6"/>
        <v>0</v>
      </c>
      <c r="Q251" s="115"/>
      <c r="R251" s="115"/>
      <c r="S251" s="115"/>
      <c r="T251" s="115"/>
      <c r="U251" s="115"/>
      <c r="V251" s="115"/>
      <c r="W251" s="115"/>
      <c r="X251" s="115"/>
      <c r="Y251" s="115"/>
      <c r="Z251" s="115"/>
      <c r="AA251" s="115"/>
      <c r="AB251" s="115"/>
    </row>
    <row r="252" spans="1:40" ht="24">
      <c r="A252" s="264">
        <v>40052793</v>
      </c>
      <c r="B252" s="107">
        <v>31</v>
      </c>
      <c r="C252" s="103" t="s">
        <v>30</v>
      </c>
      <c r="D252" s="101"/>
      <c r="E252" s="101" t="s">
        <v>132</v>
      </c>
      <c r="F252" s="108" t="s">
        <v>541</v>
      </c>
      <c r="G252" s="117" t="s">
        <v>82</v>
      </c>
      <c r="H252" s="270" t="s">
        <v>213</v>
      </c>
      <c r="I252" s="101">
        <v>2023</v>
      </c>
      <c r="J252" s="101">
        <v>13221</v>
      </c>
      <c r="K252" s="146">
        <v>167178</v>
      </c>
      <c r="L252" s="239" t="s">
        <v>142</v>
      </c>
      <c r="M252" s="105" t="s">
        <v>152</v>
      </c>
      <c r="N252" s="115">
        <v>173026</v>
      </c>
      <c r="O252" s="115">
        <v>180060</v>
      </c>
      <c r="P252" s="115">
        <f t="shared" si="6"/>
        <v>0</v>
      </c>
      <c r="Q252" s="115"/>
      <c r="R252" s="115"/>
      <c r="S252" s="115"/>
      <c r="T252" s="115"/>
      <c r="U252" s="115"/>
      <c r="V252" s="115"/>
      <c r="W252" s="115"/>
      <c r="X252" s="115"/>
      <c r="Y252" s="115"/>
      <c r="Z252" s="115"/>
      <c r="AA252" s="115"/>
      <c r="AB252" s="115"/>
    </row>
    <row r="253" spans="1:40" ht="24">
      <c r="A253" s="264">
        <v>40052020</v>
      </c>
      <c r="B253" s="107">
        <v>31</v>
      </c>
      <c r="C253" s="103" t="s">
        <v>30</v>
      </c>
      <c r="D253" s="101"/>
      <c r="E253" s="101" t="s">
        <v>132</v>
      </c>
      <c r="F253" s="108" t="s">
        <v>542</v>
      </c>
      <c r="G253" s="117" t="s">
        <v>97</v>
      </c>
      <c r="H253" s="270" t="s">
        <v>213</v>
      </c>
      <c r="I253" s="101">
        <v>2023</v>
      </c>
      <c r="J253" s="101">
        <v>13221</v>
      </c>
      <c r="K253" s="146">
        <v>127156</v>
      </c>
      <c r="L253" s="239" t="s">
        <v>180</v>
      </c>
      <c r="M253" s="105" t="s">
        <v>132</v>
      </c>
      <c r="N253" s="115">
        <v>42948</v>
      </c>
      <c r="O253" s="115">
        <v>41689</v>
      </c>
      <c r="P253" s="115">
        <f t="shared" si="6"/>
        <v>35785.194000000003</v>
      </c>
      <c r="Q253" s="115"/>
      <c r="R253" s="115"/>
      <c r="S253" s="115"/>
      <c r="T253" s="115">
        <v>35785.194000000003</v>
      </c>
      <c r="U253" s="115"/>
      <c r="V253" s="115"/>
      <c r="W253" s="115"/>
      <c r="X253" s="115"/>
      <c r="Y253" s="115"/>
      <c r="Z253" s="115"/>
      <c r="AA253" s="115"/>
      <c r="AB253" s="115"/>
      <c r="AC253" s="207"/>
      <c r="AD253" s="207"/>
      <c r="AE253" s="207"/>
      <c r="AF253" s="207"/>
      <c r="AG253" s="207"/>
      <c r="AH253" s="207"/>
      <c r="AI253" s="207"/>
      <c r="AJ253" s="207"/>
      <c r="AK253" s="207"/>
      <c r="AL253" s="207"/>
      <c r="AM253" s="207"/>
      <c r="AN253" s="207"/>
    </row>
    <row r="254" spans="1:40" ht="24">
      <c r="A254" s="264">
        <v>40051481</v>
      </c>
      <c r="B254" s="107">
        <v>31</v>
      </c>
      <c r="C254" s="103" t="s">
        <v>30</v>
      </c>
      <c r="D254" s="101"/>
      <c r="E254" s="101" t="s">
        <v>132</v>
      </c>
      <c r="F254" s="108" t="s">
        <v>543</v>
      </c>
      <c r="G254" s="117" t="s">
        <v>90</v>
      </c>
      <c r="H254" s="270" t="s">
        <v>213</v>
      </c>
      <c r="I254" s="101">
        <v>2023</v>
      </c>
      <c r="J254" s="101">
        <v>13221</v>
      </c>
      <c r="K254" s="146">
        <v>203303</v>
      </c>
      <c r="L254" s="239" t="s">
        <v>168</v>
      </c>
      <c r="M254" s="105" t="s">
        <v>132</v>
      </c>
      <c r="N254" s="115">
        <v>72173</v>
      </c>
      <c r="O254" s="115">
        <v>79628</v>
      </c>
      <c r="P254" s="115">
        <f t="shared" si="6"/>
        <v>53324.226999999999</v>
      </c>
      <c r="Q254" s="115"/>
      <c r="R254" s="115"/>
      <c r="S254" s="115"/>
      <c r="T254" s="115">
        <v>53324.226999999999</v>
      </c>
      <c r="U254" s="115"/>
      <c r="V254" s="115"/>
      <c r="W254" s="115"/>
      <c r="X254" s="115"/>
      <c r="Y254" s="115"/>
      <c r="Z254" s="115"/>
      <c r="AA254" s="115"/>
      <c r="AB254" s="115"/>
    </row>
    <row r="255" spans="1:40" ht="24">
      <c r="A255" s="264">
        <v>40052894</v>
      </c>
      <c r="B255" s="107">
        <v>31</v>
      </c>
      <c r="C255" s="103" t="s">
        <v>30</v>
      </c>
      <c r="D255" s="101"/>
      <c r="E255" s="101" t="s">
        <v>132</v>
      </c>
      <c r="F255" s="108" t="s">
        <v>544</v>
      </c>
      <c r="G255" s="117" t="s">
        <v>84</v>
      </c>
      <c r="H255" s="270" t="s">
        <v>213</v>
      </c>
      <c r="I255" s="101">
        <v>2023</v>
      </c>
      <c r="J255" s="101">
        <v>13221</v>
      </c>
      <c r="K255" s="146">
        <v>310486</v>
      </c>
      <c r="L255" s="239" t="s">
        <v>157</v>
      </c>
      <c r="M255" s="105" t="s">
        <v>132</v>
      </c>
      <c r="N255" s="115">
        <v>104103</v>
      </c>
      <c r="O255" s="115">
        <v>91737</v>
      </c>
      <c r="P255" s="115">
        <f t="shared" si="6"/>
        <v>72883.68299999999</v>
      </c>
      <c r="Q255" s="115"/>
      <c r="R255" s="115"/>
      <c r="S255" s="115">
        <v>32251.955999999998</v>
      </c>
      <c r="T255" s="115"/>
      <c r="U255" s="115"/>
      <c r="V255" s="115">
        <v>40631.726999999999</v>
      </c>
      <c r="W255" s="115"/>
      <c r="X255" s="115"/>
      <c r="Y255" s="115"/>
      <c r="Z255" s="115"/>
      <c r="AA255" s="115"/>
      <c r="AB255" s="115"/>
    </row>
    <row r="256" spans="1:40" ht="36">
      <c r="A256" s="264">
        <v>40053721</v>
      </c>
      <c r="B256" s="107">
        <v>31</v>
      </c>
      <c r="C256" s="103" t="s">
        <v>30</v>
      </c>
      <c r="D256" s="101"/>
      <c r="E256" s="101" t="s">
        <v>132</v>
      </c>
      <c r="F256" s="108" t="s">
        <v>545</v>
      </c>
      <c r="G256" s="117" t="s">
        <v>99</v>
      </c>
      <c r="H256" s="101" t="s">
        <v>141</v>
      </c>
      <c r="I256" s="101">
        <v>2023</v>
      </c>
      <c r="J256" s="101">
        <v>13221</v>
      </c>
      <c r="K256" s="146">
        <v>216820</v>
      </c>
      <c r="L256" s="239" t="s">
        <v>226</v>
      </c>
      <c r="M256" s="105" t="s">
        <v>132</v>
      </c>
      <c r="N256" s="115">
        <v>22323</v>
      </c>
      <c r="O256" s="115">
        <v>114926</v>
      </c>
      <c r="P256" s="115">
        <f t="shared" si="6"/>
        <v>0</v>
      </c>
      <c r="Q256" s="115"/>
      <c r="R256" s="115"/>
      <c r="S256" s="115"/>
      <c r="T256" s="115"/>
      <c r="U256" s="115"/>
      <c r="V256" s="115"/>
      <c r="W256" s="115"/>
      <c r="X256" s="115"/>
      <c r="Y256" s="115"/>
      <c r="Z256" s="115"/>
      <c r="AA256" s="115"/>
      <c r="AB256" s="115"/>
    </row>
    <row r="257" spans="1:28" ht="24">
      <c r="A257" s="264">
        <v>40053333</v>
      </c>
      <c r="B257" s="107">
        <v>31</v>
      </c>
      <c r="C257" s="103" t="s">
        <v>30</v>
      </c>
      <c r="D257" s="101"/>
      <c r="E257" s="101" t="s">
        <v>132</v>
      </c>
      <c r="F257" s="108" t="s">
        <v>546</v>
      </c>
      <c r="G257" s="101" t="s">
        <v>85</v>
      </c>
      <c r="H257" s="101" t="s">
        <v>134</v>
      </c>
      <c r="I257" s="101">
        <v>2023</v>
      </c>
      <c r="J257" s="101">
        <v>13221</v>
      </c>
      <c r="K257" s="146">
        <v>11708</v>
      </c>
      <c r="L257" s="239" t="s">
        <v>236</v>
      </c>
      <c r="M257" s="105" t="s">
        <v>547</v>
      </c>
      <c r="N257" s="115"/>
      <c r="O257" s="115"/>
      <c r="P257" s="115">
        <f t="shared" si="6"/>
        <v>0</v>
      </c>
      <c r="Q257" s="115"/>
      <c r="R257" s="115"/>
      <c r="S257" s="115"/>
      <c r="T257" s="115"/>
      <c r="U257" s="115"/>
      <c r="V257" s="115"/>
      <c r="W257" s="115"/>
      <c r="X257" s="115"/>
      <c r="Y257" s="115"/>
      <c r="Z257" s="115"/>
      <c r="AA257" s="115"/>
      <c r="AB257" s="115"/>
    </row>
    <row r="258" spans="1:28" ht="24">
      <c r="A258" s="264">
        <v>40052849</v>
      </c>
      <c r="B258" s="107">
        <v>31</v>
      </c>
      <c r="C258" s="103" t="s">
        <v>30</v>
      </c>
      <c r="D258" s="101"/>
      <c r="E258" s="101" t="s">
        <v>132</v>
      </c>
      <c r="F258" s="108" t="s">
        <v>548</v>
      </c>
      <c r="G258" s="101" t="s">
        <v>83</v>
      </c>
      <c r="H258" s="270" t="s">
        <v>213</v>
      </c>
      <c r="I258" s="101">
        <v>2023</v>
      </c>
      <c r="J258" s="101">
        <v>13221</v>
      </c>
      <c r="K258" s="146">
        <v>214312</v>
      </c>
      <c r="L258" s="239" t="s">
        <v>148</v>
      </c>
      <c r="M258" s="105" t="s">
        <v>152</v>
      </c>
      <c r="N258" s="115">
        <v>221810</v>
      </c>
      <c r="O258" s="115">
        <v>230892</v>
      </c>
      <c r="P258" s="115">
        <f t="shared" si="6"/>
        <v>0</v>
      </c>
      <c r="Q258" s="115"/>
      <c r="R258" s="115"/>
      <c r="S258" s="115"/>
      <c r="T258" s="115"/>
      <c r="U258" s="115"/>
      <c r="V258" s="115"/>
      <c r="W258" s="115"/>
      <c r="X258" s="115"/>
      <c r="Y258" s="115"/>
      <c r="Z258" s="115"/>
      <c r="AA258" s="115"/>
      <c r="AB258" s="115"/>
    </row>
    <row r="259" spans="1:28" ht="24">
      <c r="A259" s="264">
        <v>40052988</v>
      </c>
      <c r="B259" s="107">
        <v>31</v>
      </c>
      <c r="C259" s="103" t="s">
        <v>30</v>
      </c>
      <c r="D259" s="101"/>
      <c r="E259" s="101" t="s">
        <v>132</v>
      </c>
      <c r="F259" s="108" t="s">
        <v>549</v>
      </c>
      <c r="G259" s="117" t="s">
        <v>98</v>
      </c>
      <c r="H259" s="101" t="s">
        <v>134</v>
      </c>
      <c r="I259" s="101">
        <v>2023</v>
      </c>
      <c r="J259" s="101">
        <v>13221</v>
      </c>
      <c r="K259" s="146">
        <v>217124</v>
      </c>
      <c r="L259" s="239" t="s">
        <v>151</v>
      </c>
      <c r="M259" s="105" t="s">
        <v>132</v>
      </c>
      <c r="N259" s="115">
        <v>81427</v>
      </c>
      <c r="O259" s="115">
        <v>117274</v>
      </c>
      <c r="P259" s="115">
        <f t="shared" si="6"/>
        <v>52453.59</v>
      </c>
      <c r="Q259" s="115"/>
      <c r="R259" s="115"/>
      <c r="S259" s="115"/>
      <c r="T259" s="115"/>
      <c r="U259" s="115"/>
      <c r="V259" s="115">
        <v>52453.59</v>
      </c>
      <c r="W259" s="115"/>
      <c r="X259" s="115"/>
      <c r="Y259" s="115"/>
      <c r="Z259" s="115"/>
      <c r="AA259" s="115"/>
      <c r="AB259" s="115"/>
    </row>
    <row r="260" spans="1:28" ht="24">
      <c r="A260" s="264">
        <v>40052563</v>
      </c>
      <c r="B260" s="107">
        <v>31</v>
      </c>
      <c r="C260" s="103" t="s">
        <v>30</v>
      </c>
      <c r="D260" s="101"/>
      <c r="E260" s="101" t="s">
        <v>132</v>
      </c>
      <c r="F260" s="108" t="s">
        <v>550</v>
      </c>
      <c r="G260" s="101" t="s">
        <v>92</v>
      </c>
      <c r="H260" s="270" t="s">
        <v>213</v>
      </c>
      <c r="I260" s="101">
        <v>2023</v>
      </c>
      <c r="J260" s="101">
        <v>13221</v>
      </c>
      <c r="K260" s="146">
        <v>229249</v>
      </c>
      <c r="L260" s="239" t="s">
        <v>159</v>
      </c>
      <c r="M260" s="105" t="s">
        <v>171</v>
      </c>
      <c r="N260" s="115">
        <v>237270</v>
      </c>
      <c r="O260" s="115">
        <v>247002</v>
      </c>
      <c r="P260" s="115">
        <f t="shared" si="6"/>
        <v>0</v>
      </c>
      <c r="Q260" s="115"/>
      <c r="R260" s="115"/>
      <c r="S260" s="115"/>
      <c r="T260" s="115"/>
      <c r="U260" s="115"/>
      <c r="V260" s="115"/>
      <c r="W260" s="115"/>
      <c r="X260" s="115"/>
      <c r="Y260" s="115"/>
      <c r="Z260" s="115"/>
      <c r="AA260" s="115"/>
      <c r="AB260" s="115"/>
    </row>
    <row r="261" spans="1:28" ht="24">
      <c r="A261" s="264">
        <v>40052639</v>
      </c>
      <c r="B261" s="107">
        <v>31</v>
      </c>
      <c r="C261" s="103" t="s">
        <v>30</v>
      </c>
      <c r="D261" s="101"/>
      <c r="E261" s="101" t="s">
        <v>132</v>
      </c>
      <c r="F261" s="108" t="s">
        <v>551</v>
      </c>
      <c r="G261" s="117" t="s">
        <v>91</v>
      </c>
      <c r="H261" s="270" t="s">
        <v>213</v>
      </c>
      <c r="I261" s="101">
        <v>2023</v>
      </c>
      <c r="J261" s="101">
        <v>13221</v>
      </c>
      <c r="K261" s="146">
        <v>207087</v>
      </c>
      <c r="L261" s="239" t="s">
        <v>138</v>
      </c>
      <c r="M261" s="105" t="s">
        <v>132</v>
      </c>
      <c r="N261" s="115">
        <v>207087</v>
      </c>
      <c r="O261" s="115">
        <v>135979</v>
      </c>
      <c r="P261" s="115">
        <f t="shared" si="6"/>
        <v>135678.39600000001</v>
      </c>
      <c r="Q261" s="115"/>
      <c r="R261" s="115"/>
      <c r="S261" s="115">
        <v>87206.732000000004</v>
      </c>
      <c r="T261" s="115">
        <v>48471.663999999997</v>
      </c>
      <c r="U261" s="115"/>
      <c r="V261" s="115"/>
      <c r="W261" s="115"/>
      <c r="X261" s="115"/>
      <c r="Y261" s="115"/>
      <c r="Z261" s="115"/>
      <c r="AA261" s="115"/>
      <c r="AB261" s="115"/>
    </row>
    <row r="262" spans="1:28" ht="36">
      <c r="A262" s="264">
        <v>40052819</v>
      </c>
      <c r="B262" s="107">
        <v>31</v>
      </c>
      <c r="C262" s="103" t="s">
        <v>30</v>
      </c>
      <c r="D262" s="101"/>
      <c r="E262" s="101" t="s">
        <v>132</v>
      </c>
      <c r="F262" s="108" t="s">
        <v>552</v>
      </c>
      <c r="G262" s="117" t="s">
        <v>86</v>
      </c>
      <c r="H262" s="101" t="s">
        <v>141</v>
      </c>
      <c r="I262" s="101">
        <v>2023</v>
      </c>
      <c r="J262" s="101">
        <v>13221</v>
      </c>
      <c r="K262" s="146">
        <v>129105</v>
      </c>
      <c r="L262" s="239" t="s">
        <v>195</v>
      </c>
      <c r="M262" s="105" t="s">
        <v>547</v>
      </c>
      <c r="N262" s="115">
        <v>133623</v>
      </c>
      <c r="O262" s="115">
        <v>133623</v>
      </c>
      <c r="P262" s="115">
        <f t="shared" si="6"/>
        <v>133623</v>
      </c>
      <c r="Q262" s="115"/>
      <c r="R262" s="115"/>
      <c r="S262" s="115"/>
      <c r="T262" s="115"/>
      <c r="U262" s="115"/>
      <c r="V262" s="115">
        <v>133623</v>
      </c>
      <c r="W262" s="115"/>
      <c r="X262" s="115"/>
      <c r="Y262" s="115"/>
      <c r="Z262" s="115"/>
      <c r="AA262" s="115"/>
      <c r="AB262" s="115"/>
    </row>
    <row r="263" spans="1:28" ht="24">
      <c r="A263" s="264">
        <v>40052739</v>
      </c>
      <c r="B263" s="107">
        <v>31</v>
      </c>
      <c r="C263" s="103" t="s">
        <v>30</v>
      </c>
      <c r="D263" s="101"/>
      <c r="E263" s="101" t="s">
        <v>132</v>
      </c>
      <c r="F263" s="108" t="s">
        <v>553</v>
      </c>
      <c r="G263" s="117" t="s">
        <v>93</v>
      </c>
      <c r="H263" s="270" t="s">
        <v>213</v>
      </c>
      <c r="I263" s="101">
        <v>2023</v>
      </c>
      <c r="J263" s="101">
        <v>13221</v>
      </c>
      <c r="K263" s="146">
        <v>120327</v>
      </c>
      <c r="L263" s="239" t="s">
        <v>162</v>
      </c>
      <c r="M263" s="105" t="s">
        <v>132</v>
      </c>
      <c r="N263" s="115">
        <v>77366.743000000002</v>
      </c>
      <c r="O263" s="115">
        <v>77903</v>
      </c>
      <c r="P263" s="115">
        <f t="shared" si="6"/>
        <v>63512.743000000002</v>
      </c>
      <c r="Q263" s="115"/>
      <c r="R263" s="115"/>
      <c r="S263" s="115">
        <v>53554.123</v>
      </c>
      <c r="T263" s="115"/>
      <c r="U263" s="115">
        <v>9958.6200000000008</v>
      </c>
      <c r="V263" s="115"/>
      <c r="W263" s="115"/>
      <c r="X263" s="115"/>
      <c r="Y263" s="115"/>
      <c r="Z263" s="115"/>
      <c r="AA263" s="115"/>
      <c r="AB263" s="115"/>
    </row>
    <row r="264" spans="1:28" ht="36">
      <c r="A264" s="264">
        <v>40052651</v>
      </c>
      <c r="B264" s="107">
        <v>31</v>
      </c>
      <c r="C264" s="103" t="s">
        <v>30</v>
      </c>
      <c r="D264" s="101"/>
      <c r="E264" s="101" t="s">
        <v>132</v>
      </c>
      <c r="F264" s="108" t="s">
        <v>554</v>
      </c>
      <c r="G264" s="117" t="s">
        <v>100</v>
      </c>
      <c r="H264" s="101" t="s">
        <v>141</v>
      </c>
      <c r="I264" s="101">
        <v>2023</v>
      </c>
      <c r="J264" s="101">
        <v>13221</v>
      </c>
      <c r="K264" s="146">
        <v>212261</v>
      </c>
      <c r="L264" s="239" t="s">
        <v>199</v>
      </c>
      <c r="M264" s="105" t="s">
        <v>132</v>
      </c>
      <c r="N264" s="115">
        <v>33734</v>
      </c>
      <c r="O264" s="115">
        <v>85751</v>
      </c>
      <c r="P264" s="115">
        <f t="shared" si="6"/>
        <v>65204.648000000001</v>
      </c>
      <c r="Q264" s="115"/>
      <c r="R264" s="115"/>
      <c r="S264" s="115"/>
      <c r="T264" s="115"/>
      <c r="U264" s="115">
        <v>65204.648000000001</v>
      </c>
      <c r="V264" s="115"/>
      <c r="W264" s="115"/>
      <c r="X264" s="115"/>
      <c r="Y264" s="115"/>
      <c r="Z264" s="115"/>
      <c r="AA264" s="115"/>
      <c r="AB264" s="115"/>
    </row>
    <row r="265" spans="1:28" ht="24">
      <c r="A265" s="264">
        <v>40052754</v>
      </c>
      <c r="B265" s="107">
        <v>31</v>
      </c>
      <c r="C265" s="103" t="s">
        <v>30</v>
      </c>
      <c r="D265" s="101"/>
      <c r="E265" s="108" t="s">
        <v>132</v>
      </c>
      <c r="F265" s="108" t="s">
        <v>555</v>
      </c>
      <c r="G265" s="264" t="s">
        <v>87</v>
      </c>
      <c r="H265" s="107" t="s">
        <v>134</v>
      </c>
      <c r="I265" s="103">
        <v>2023</v>
      </c>
      <c r="J265" s="101">
        <v>13221</v>
      </c>
      <c r="K265" s="108">
        <v>122945</v>
      </c>
      <c r="L265" s="117" t="s">
        <v>223</v>
      </c>
      <c r="M265" s="105" t="s">
        <v>132</v>
      </c>
      <c r="N265" s="151">
        <v>12827</v>
      </c>
      <c r="O265" s="151"/>
      <c r="P265" s="115">
        <f t="shared" si="6"/>
        <v>0</v>
      </c>
      <c r="Q265" s="115"/>
      <c r="R265" s="115"/>
      <c r="S265" s="115"/>
      <c r="T265" s="115"/>
      <c r="U265" s="115"/>
      <c r="V265" s="115"/>
      <c r="W265" s="115"/>
      <c r="X265" s="115"/>
      <c r="Y265" s="115"/>
      <c r="Z265" s="115"/>
      <c r="AA265" s="115"/>
      <c r="AB265" s="115"/>
    </row>
    <row r="266" spans="1:28" ht="24">
      <c r="A266" s="107">
        <v>40009344</v>
      </c>
      <c r="B266" s="107">
        <v>31</v>
      </c>
      <c r="C266" s="103" t="s">
        <v>30</v>
      </c>
      <c r="D266" s="101"/>
      <c r="E266" s="101" t="s">
        <v>132</v>
      </c>
      <c r="F266" s="108" t="s">
        <v>556</v>
      </c>
      <c r="G266" s="101" t="s">
        <v>90</v>
      </c>
      <c r="H266" s="101" t="s">
        <v>134</v>
      </c>
      <c r="I266" s="101">
        <v>2019</v>
      </c>
      <c r="J266" s="101">
        <v>9830</v>
      </c>
      <c r="K266" s="142">
        <v>656138</v>
      </c>
      <c r="L266" s="101" t="s">
        <v>168</v>
      </c>
      <c r="M266" s="105" t="s">
        <v>171</v>
      </c>
      <c r="N266" s="151">
        <v>220000</v>
      </c>
      <c r="O266" s="151"/>
      <c r="P266" s="115">
        <f t="shared" si="6"/>
        <v>0</v>
      </c>
      <c r="Q266" s="115"/>
      <c r="R266" s="115"/>
      <c r="S266" s="115"/>
      <c r="T266" s="115"/>
      <c r="U266" s="115"/>
      <c r="V266" s="115"/>
      <c r="W266" s="115"/>
      <c r="X266" s="115"/>
      <c r="Y266" s="115"/>
      <c r="Z266" s="115"/>
      <c r="AA266" s="115"/>
      <c r="AB266" s="115"/>
    </row>
    <row r="267" spans="1:28" ht="24">
      <c r="A267" s="107">
        <v>40015369</v>
      </c>
      <c r="B267" s="107">
        <v>31</v>
      </c>
      <c r="C267" s="103" t="s">
        <v>30</v>
      </c>
      <c r="D267" s="101"/>
      <c r="E267" s="101" t="s">
        <v>132</v>
      </c>
      <c r="F267" s="108" t="s">
        <v>557</v>
      </c>
      <c r="G267" s="101" t="s">
        <v>83</v>
      </c>
      <c r="H267" s="101" t="s">
        <v>134</v>
      </c>
      <c r="I267" s="101">
        <v>2020</v>
      </c>
      <c r="J267" s="101">
        <v>10766</v>
      </c>
      <c r="K267" s="142">
        <v>6786017</v>
      </c>
      <c r="L267" s="101" t="s">
        <v>489</v>
      </c>
      <c r="M267" s="105" t="s">
        <v>132</v>
      </c>
      <c r="N267" s="115">
        <v>2200000</v>
      </c>
      <c r="O267" s="115">
        <v>2000000</v>
      </c>
      <c r="P267" s="115">
        <f t="shared" si="6"/>
        <v>0</v>
      </c>
      <c r="Q267" s="115"/>
      <c r="R267" s="115"/>
      <c r="S267" s="115"/>
      <c r="T267" s="115"/>
      <c r="U267" s="115"/>
      <c r="V267" s="115"/>
      <c r="W267" s="115"/>
      <c r="X267" s="115"/>
      <c r="Y267" s="115"/>
      <c r="Z267" s="115"/>
      <c r="AA267" s="115"/>
      <c r="AB267" s="115"/>
    </row>
    <row r="268" spans="1:28" ht="24">
      <c r="A268" s="267">
        <v>40023780</v>
      </c>
      <c r="B268" s="101">
        <v>31</v>
      </c>
      <c r="C268" s="103" t="s">
        <v>30</v>
      </c>
      <c r="D268" s="235"/>
      <c r="E268" s="101" t="s">
        <v>132</v>
      </c>
      <c r="F268" s="108" t="s">
        <v>558</v>
      </c>
      <c r="G268" s="117" t="s">
        <v>90</v>
      </c>
      <c r="H268" s="242" t="s">
        <v>147</v>
      </c>
      <c r="I268" s="101">
        <v>2024</v>
      </c>
      <c r="J268" s="101">
        <v>13835</v>
      </c>
      <c r="K268" s="146">
        <v>936271</v>
      </c>
      <c r="L268" s="101" t="s">
        <v>168</v>
      </c>
      <c r="M268" s="105" t="s">
        <v>152</v>
      </c>
      <c r="N268" s="234">
        <v>93000</v>
      </c>
      <c r="O268" s="115">
        <v>69186</v>
      </c>
      <c r="P268" s="115">
        <f t="shared" si="6"/>
        <v>0</v>
      </c>
      <c r="Q268" s="115"/>
      <c r="R268" s="115"/>
      <c r="S268" s="115"/>
      <c r="T268" s="115"/>
      <c r="U268" s="115"/>
      <c r="V268" s="115"/>
      <c r="W268" s="115"/>
      <c r="X268" s="115"/>
      <c r="Y268" s="115"/>
      <c r="Z268" s="115"/>
      <c r="AA268" s="115"/>
      <c r="AB268" s="115"/>
    </row>
    <row r="269" spans="1:28" ht="36">
      <c r="A269" s="107">
        <v>30064704</v>
      </c>
      <c r="B269" s="101">
        <v>31</v>
      </c>
      <c r="C269" s="103" t="s">
        <v>30</v>
      </c>
      <c r="D269" s="101"/>
      <c r="E269" s="119" t="s">
        <v>132</v>
      </c>
      <c r="F269" s="118" t="s">
        <v>559</v>
      </c>
      <c r="G269" s="101" t="s">
        <v>94</v>
      </c>
      <c r="H269" s="101" t="s">
        <v>161</v>
      </c>
      <c r="I269" s="101">
        <v>2011</v>
      </c>
      <c r="J269" s="119">
        <v>4968</v>
      </c>
      <c r="K269" s="143">
        <v>778545</v>
      </c>
      <c r="L269" s="272" t="s">
        <v>220</v>
      </c>
      <c r="M269" s="105" t="s">
        <v>177</v>
      </c>
      <c r="N269" s="151">
        <v>76000</v>
      </c>
      <c r="O269" s="151"/>
      <c r="P269" s="115">
        <f t="shared" si="6"/>
        <v>0</v>
      </c>
      <c r="Q269" s="115"/>
      <c r="R269" s="115"/>
      <c r="S269" s="115"/>
      <c r="T269" s="115"/>
      <c r="U269" s="115"/>
      <c r="V269" s="115"/>
      <c r="W269" s="115"/>
      <c r="X269" s="115"/>
      <c r="Y269" s="115"/>
      <c r="Z269" s="115"/>
      <c r="AA269" s="115"/>
      <c r="AB269" s="115"/>
    </row>
    <row r="270" spans="1:28" ht="36">
      <c r="A270" s="267">
        <v>40040663</v>
      </c>
      <c r="B270" s="101">
        <v>31</v>
      </c>
      <c r="C270" s="103" t="s">
        <v>30</v>
      </c>
      <c r="D270" s="233"/>
      <c r="E270" s="101" t="s">
        <v>139</v>
      </c>
      <c r="F270" s="108" t="s">
        <v>560</v>
      </c>
      <c r="G270" s="117" t="s">
        <v>83</v>
      </c>
      <c r="H270" s="242" t="s">
        <v>147</v>
      </c>
      <c r="I270" s="101">
        <v>2024</v>
      </c>
      <c r="J270" s="101">
        <v>13837</v>
      </c>
      <c r="K270" s="146">
        <v>318168</v>
      </c>
      <c r="L270" s="101" t="s">
        <v>135</v>
      </c>
      <c r="M270" s="105" t="s">
        <v>268</v>
      </c>
      <c r="N270" s="115">
        <v>318168</v>
      </c>
      <c r="O270" s="115">
        <v>47221</v>
      </c>
      <c r="P270" s="115">
        <f t="shared" si="6"/>
        <v>0</v>
      </c>
      <c r="Q270" s="115"/>
      <c r="R270" s="115"/>
      <c r="S270" s="115"/>
      <c r="T270" s="115"/>
      <c r="U270" s="115"/>
      <c r="V270" s="115"/>
      <c r="W270" s="115"/>
      <c r="X270" s="115"/>
      <c r="Y270" s="115"/>
      <c r="Z270" s="115"/>
      <c r="AA270" s="115"/>
      <c r="AB270" s="115"/>
    </row>
    <row r="271" spans="1:28" ht="24">
      <c r="A271" s="107">
        <v>30426830</v>
      </c>
      <c r="B271" s="107">
        <v>31</v>
      </c>
      <c r="C271" s="103" t="s">
        <v>30</v>
      </c>
      <c r="D271" s="265"/>
      <c r="E271" s="101" t="s">
        <v>132</v>
      </c>
      <c r="F271" s="108" t="s">
        <v>561</v>
      </c>
      <c r="G271" s="117" t="s">
        <v>97</v>
      </c>
      <c r="H271" s="117" t="s">
        <v>310</v>
      </c>
      <c r="I271" s="101">
        <v>2023</v>
      </c>
      <c r="J271" s="101">
        <v>12956</v>
      </c>
      <c r="K271" s="146">
        <v>1013180</v>
      </c>
      <c r="L271" s="270" t="s">
        <v>562</v>
      </c>
      <c r="M271" s="105" t="s">
        <v>132</v>
      </c>
      <c r="N271" s="115"/>
      <c r="O271" s="115"/>
      <c r="P271" s="115">
        <f t="shared" si="6"/>
        <v>0</v>
      </c>
      <c r="Q271" s="115"/>
      <c r="R271" s="115"/>
      <c r="S271" s="115"/>
      <c r="T271" s="115"/>
      <c r="U271" s="115"/>
      <c r="V271" s="115"/>
      <c r="W271" s="115"/>
      <c r="X271" s="115"/>
      <c r="Y271" s="115"/>
      <c r="Z271" s="115"/>
      <c r="AA271" s="115"/>
      <c r="AB271" s="115"/>
    </row>
    <row r="272" spans="1:28" ht="36">
      <c r="A272" s="107">
        <v>40005301</v>
      </c>
      <c r="B272" s="107">
        <v>31</v>
      </c>
      <c r="C272" s="103" t="s">
        <v>30</v>
      </c>
      <c r="D272" s="265"/>
      <c r="E272" s="101" t="s">
        <v>132</v>
      </c>
      <c r="F272" s="118" t="s">
        <v>563</v>
      </c>
      <c r="G272" s="258" t="s">
        <v>82</v>
      </c>
      <c r="H272" s="101" t="s">
        <v>161</v>
      </c>
      <c r="I272" s="119">
        <v>2023</v>
      </c>
      <c r="J272" s="119">
        <v>12956</v>
      </c>
      <c r="K272" s="230">
        <v>123462</v>
      </c>
      <c r="L272" s="270" t="s">
        <v>142</v>
      </c>
      <c r="M272" s="105" t="s">
        <v>224</v>
      </c>
      <c r="N272" s="151">
        <v>120000</v>
      </c>
      <c r="O272" s="151"/>
      <c r="P272" s="115">
        <f t="shared" si="6"/>
        <v>0</v>
      </c>
      <c r="Q272" s="115"/>
      <c r="R272" s="115"/>
      <c r="S272" s="115"/>
      <c r="T272" s="115"/>
      <c r="U272" s="115"/>
      <c r="V272" s="115"/>
      <c r="W272" s="115"/>
      <c r="X272" s="115"/>
      <c r="Y272" s="115"/>
      <c r="Z272" s="115"/>
      <c r="AA272" s="115"/>
      <c r="AB272" s="115"/>
    </row>
    <row r="273" spans="1:28" ht="24">
      <c r="A273" s="107">
        <v>40016396</v>
      </c>
      <c r="B273" s="107">
        <v>31</v>
      </c>
      <c r="C273" s="103" t="s">
        <v>30</v>
      </c>
      <c r="D273" s="103"/>
      <c r="E273" s="101" t="s">
        <v>132</v>
      </c>
      <c r="F273" s="118" t="s">
        <v>564</v>
      </c>
      <c r="G273" s="119" t="s">
        <v>92</v>
      </c>
      <c r="H273" s="6" t="s">
        <v>352</v>
      </c>
      <c r="I273" s="119">
        <v>2020</v>
      </c>
      <c r="J273" s="231">
        <v>10497</v>
      </c>
      <c r="K273" s="143">
        <v>99733</v>
      </c>
      <c r="L273" s="272" t="s">
        <v>159</v>
      </c>
      <c r="M273" s="105" t="s">
        <v>177</v>
      </c>
      <c r="N273" s="151">
        <v>25486.739999999998</v>
      </c>
      <c r="O273" s="151"/>
      <c r="P273" s="115">
        <f t="shared" si="6"/>
        <v>0</v>
      </c>
      <c r="Q273" s="115"/>
      <c r="R273" s="115"/>
      <c r="S273" s="115"/>
      <c r="T273" s="115"/>
      <c r="U273" s="115"/>
      <c r="V273" s="115"/>
      <c r="W273" s="115"/>
      <c r="X273" s="115"/>
      <c r="Y273" s="115"/>
      <c r="Z273" s="115"/>
      <c r="AA273" s="115"/>
      <c r="AB273" s="115"/>
    </row>
    <row r="274" spans="1:28" ht="36">
      <c r="A274" s="64">
        <v>30480252</v>
      </c>
      <c r="B274" s="107">
        <v>31</v>
      </c>
      <c r="C274" s="103" t="s">
        <v>30</v>
      </c>
      <c r="D274" s="101"/>
      <c r="E274" s="101" t="s">
        <v>139</v>
      </c>
      <c r="F274" s="108" t="s">
        <v>565</v>
      </c>
      <c r="G274" s="101" t="s">
        <v>83</v>
      </c>
      <c r="H274" s="101" t="s">
        <v>185</v>
      </c>
      <c r="I274" s="101">
        <v>2023</v>
      </c>
      <c r="J274" s="101">
        <v>13598</v>
      </c>
      <c r="K274" s="146">
        <v>289796</v>
      </c>
      <c r="L274" s="101" t="s">
        <v>148</v>
      </c>
      <c r="M274" s="105" t="s">
        <v>490</v>
      </c>
      <c r="N274" s="151">
        <v>28000</v>
      </c>
      <c r="O274" s="115"/>
      <c r="P274" s="115">
        <f t="shared" si="6"/>
        <v>0</v>
      </c>
      <c r="Q274" s="115"/>
      <c r="R274" s="115"/>
      <c r="S274" s="115"/>
      <c r="T274" s="115"/>
      <c r="U274" s="115"/>
      <c r="V274" s="115"/>
      <c r="W274" s="115"/>
      <c r="X274" s="115"/>
      <c r="Y274" s="115"/>
      <c r="Z274" s="115"/>
      <c r="AA274" s="115"/>
      <c r="AB274" s="115"/>
    </row>
    <row r="275" spans="1:28" ht="60">
      <c r="A275" s="229">
        <v>30484187</v>
      </c>
      <c r="B275" s="1">
        <v>31</v>
      </c>
      <c r="C275" s="217" t="s">
        <v>30</v>
      </c>
      <c r="D275" s="6"/>
      <c r="E275" s="119" t="s">
        <v>186</v>
      </c>
      <c r="F275" s="118" t="s">
        <v>566</v>
      </c>
      <c r="G275" s="119" t="s">
        <v>92</v>
      </c>
      <c r="H275" s="6" t="s">
        <v>189</v>
      </c>
      <c r="I275" s="119">
        <v>2018</v>
      </c>
      <c r="J275" s="119" t="s">
        <v>190</v>
      </c>
      <c r="K275" s="143">
        <v>69024</v>
      </c>
      <c r="L275" s="272" t="s">
        <v>159</v>
      </c>
      <c r="M275" s="105" t="s">
        <v>177</v>
      </c>
      <c r="N275" s="151">
        <v>1000</v>
      </c>
      <c r="O275" s="151"/>
      <c r="P275" s="115">
        <f t="shared" si="6"/>
        <v>0</v>
      </c>
      <c r="Q275" s="115"/>
      <c r="R275" s="115"/>
      <c r="S275" s="115"/>
      <c r="T275" s="115"/>
      <c r="U275" s="115"/>
      <c r="V275" s="115"/>
      <c r="W275" s="115"/>
      <c r="X275" s="115"/>
      <c r="Y275" s="115"/>
      <c r="Z275" s="115"/>
      <c r="AA275" s="115"/>
      <c r="AB275" s="115"/>
    </row>
    <row r="276" spans="1:28" ht="60">
      <c r="A276" s="107">
        <v>30484184</v>
      </c>
      <c r="B276" s="107">
        <v>31</v>
      </c>
      <c r="C276" s="103" t="s">
        <v>30</v>
      </c>
      <c r="D276" s="101"/>
      <c r="E276" s="101" t="s">
        <v>186</v>
      </c>
      <c r="F276" s="108" t="s">
        <v>567</v>
      </c>
      <c r="G276" s="101" t="s">
        <v>92</v>
      </c>
      <c r="H276" s="101" t="s">
        <v>189</v>
      </c>
      <c r="I276" s="119">
        <v>2018</v>
      </c>
      <c r="J276" s="119" t="s">
        <v>190</v>
      </c>
      <c r="K276" s="142">
        <v>68324</v>
      </c>
      <c r="L276" s="101" t="s">
        <v>159</v>
      </c>
      <c r="M276" s="105" t="s">
        <v>177</v>
      </c>
      <c r="N276" s="115">
        <v>1000</v>
      </c>
      <c r="O276" s="115"/>
      <c r="P276" s="115">
        <f t="shared" si="6"/>
        <v>0</v>
      </c>
      <c r="Q276" s="115"/>
      <c r="R276" s="115"/>
      <c r="S276" s="115"/>
      <c r="T276" s="115"/>
      <c r="U276" s="115"/>
      <c r="V276" s="115"/>
      <c r="W276" s="115"/>
      <c r="X276" s="115"/>
      <c r="Y276" s="115"/>
      <c r="Z276" s="115"/>
      <c r="AA276" s="115"/>
      <c r="AB276" s="115"/>
    </row>
    <row r="277" spans="1:28" ht="36">
      <c r="A277" s="64">
        <v>40005309</v>
      </c>
      <c r="B277" s="103" t="s">
        <v>568</v>
      </c>
      <c r="C277" s="103" t="s">
        <v>30</v>
      </c>
      <c r="D277" s="265"/>
      <c r="E277" s="101" t="s">
        <v>132</v>
      </c>
      <c r="F277" s="108" t="s">
        <v>569</v>
      </c>
      <c r="G277" s="117" t="s">
        <v>82</v>
      </c>
      <c r="H277" s="101" t="s">
        <v>141</v>
      </c>
      <c r="I277" s="119">
        <v>2023</v>
      </c>
      <c r="J277" s="119">
        <v>13066</v>
      </c>
      <c r="K277" s="146">
        <v>1578355</v>
      </c>
      <c r="L277" s="270" t="s">
        <v>142</v>
      </c>
      <c r="M277" s="105" t="s">
        <v>490</v>
      </c>
      <c r="N277" s="115">
        <v>90000</v>
      </c>
      <c r="O277" s="115"/>
      <c r="P277" s="115">
        <f t="shared" si="6"/>
        <v>0</v>
      </c>
      <c r="Q277" s="115"/>
      <c r="R277" s="115"/>
      <c r="S277" s="115"/>
      <c r="T277" s="115"/>
      <c r="U277" s="115"/>
      <c r="V277" s="115"/>
      <c r="W277" s="115"/>
      <c r="X277" s="115"/>
      <c r="Y277" s="115"/>
      <c r="Z277" s="115"/>
      <c r="AA277" s="115"/>
      <c r="AB277" s="115"/>
    </row>
    <row r="278" spans="1:28" ht="24">
      <c r="A278" s="107">
        <v>40016628</v>
      </c>
      <c r="B278" s="107">
        <v>31</v>
      </c>
      <c r="C278" s="103" t="s">
        <v>30</v>
      </c>
      <c r="D278" s="265"/>
      <c r="E278" s="101" t="s">
        <v>132</v>
      </c>
      <c r="F278" s="108" t="s">
        <v>570</v>
      </c>
      <c r="G278" s="101" t="s">
        <v>83</v>
      </c>
      <c r="H278" s="242" t="s">
        <v>204</v>
      </c>
      <c r="I278" s="101">
        <v>2023</v>
      </c>
      <c r="J278" s="101">
        <v>12795</v>
      </c>
      <c r="K278" s="271">
        <v>1130654</v>
      </c>
      <c r="L278" s="101" t="s">
        <v>205</v>
      </c>
      <c r="M278" s="105" t="s">
        <v>571</v>
      </c>
      <c r="N278" s="115">
        <v>1665278</v>
      </c>
      <c r="O278" s="115">
        <v>1727420</v>
      </c>
      <c r="P278" s="115">
        <f t="shared" si="6"/>
        <v>0</v>
      </c>
      <c r="Q278" s="115"/>
      <c r="R278" s="115"/>
      <c r="S278" s="115"/>
      <c r="T278" s="115"/>
      <c r="U278" s="115"/>
      <c r="V278" s="115"/>
      <c r="W278" s="115"/>
      <c r="X278" s="115"/>
      <c r="Y278" s="115"/>
      <c r="Z278" s="115"/>
      <c r="AA278" s="115"/>
      <c r="AB278" s="115"/>
    </row>
    <row r="279" spans="1:28" ht="48">
      <c r="A279" s="107">
        <v>40005349</v>
      </c>
      <c r="B279" s="107">
        <v>31</v>
      </c>
      <c r="C279" s="103" t="s">
        <v>25</v>
      </c>
      <c r="D279" s="101"/>
      <c r="E279" s="101" t="s">
        <v>132</v>
      </c>
      <c r="F279" s="108" t="s">
        <v>572</v>
      </c>
      <c r="G279" s="101" t="s">
        <v>91</v>
      </c>
      <c r="H279" s="101" t="s">
        <v>573</v>
      </c>
      <c r="I279" s="272">
        <v>2018</v>
      </c>
      <c r="J279" s="272">
        <v>9725</v>
      </c>
      <c r="K279" s="142">
        <v>385466</v>
      </c>
      <c r="L279" s="101" t="s">
        <v>138</v>
      </c>
      <c r="M279" s="105" t="s">
        <v>132</v>
      </c>
      <c r="N279" s="115">
        <v>45017</v>
      </c>
      <c r="O279" s="115">
        <v>45000</v>
      </c>
      <c r="P279" s="115">
        <f t="shared" si="6"/>
        <v>19500</v>
      </c>
      <c r="Q279" s="115"/>
      <c r="R279" s="115"/>
      <c r="S279" s="115"/>
      <c r="T279" s="115"/>
      <c r="U279" s="115"/>
      <c r="V279" s="115">
        <v>19500</v>
      </c>
      <c r="W279" s="115"/>
      <c r="X279" s="115"/>
      <c r="Y279" s="115"/>
      <c r="Z279" s="115"/>
      <c r="AA279" s="115"/>
      <c r="AB279" s="115"/>
    </row>
    <row r="280" spans="1:28">
      <c r="A280" s="107" t="s">
        <v>208</v>
      </c>
      <c r="B280" s="107">
        <v>22</v>
      </c>
      <c r="C280" s="103">
        <v>11</v>
      </c>
      <c r="D280" s="242"/>
      <c r="E280" s="101" t="s">
        <v>208</v>
      </c>
      <c r="F280" s="108" t="s">
        <v>574</v>
      </c>
      <c r="G280" s="117" t="s">
        <v>211</v>
      </c>
      <c r="H280" s="101" t="s">
        <v>134</v>
      </c>
      <c r="I280" s="101" t="s">
        <v>211</v>
      </c>
      <c r="J280" s="101" t="s">
        <v>211</v>
      </c>
      <c r="K280" s="243" t="s">
        <v>211</v>
      </c>
      <c r="L280" s="101" t="s">
        <v>211</v>
      </c>
      <c r="M280" s="105" t="s">
        <v>211</v>
      </c>
      <c r="N280" s="244">
        <v>200000</v>
      </c>
      <c r="O280" s="115"/>
      <c r="P280" s="115">
        <f t="shared" si="6"/>
        <v>0</v>
      </c>
      <c r="Q280" s="115"/>
      <c r="R280" s="115"/>
      <c r="S280" s="115"/>
      <c r="T280" s="115"/>
      <c r="U280" s="115"/>
      <c r="V280" s="115"/>
      <c r="W280" s="115"/>
      <c r="X280" s="115"/>
      <c r="Y280" s="115"/>
      <c r="Z280" s="115"/>
      <c r="AA280" s="115"/>
      <c r="AB280" s="115"/>
    </row>
    <row r="281" spans="1:28" ht="15">
      <c r="A281" s="107" t="s">
        <v>208</v>
      </c>
      <c r="B281" s="107">
        <v>29</v>
      </c>
      <c r="C281" s="103" t="s">
        <v>38</v>
      </c>
      <c r="D281" s="265"/>
      <c r="E281" s="101" t="s">
        <v>208</v>
      </c>
      <c r="F281" s="108" t="s">
        <v>575</v>
      </c>
      <c r="G281" s="117" t="s">
        <v>211</v>
      </c>
      <c r="H281" s="101" t="s">
        <v>208</v>
      </c>
      <c r="I281" s="101" t="s">
        <v>211</v>
      </c>
      <c r="J281" s="101" t="s">
        <v>211</v>
      </c>
      <c r="K281" s="117" t="s">
        <v>211</v>
      </c>
      <c r="L281" s="101" t="s">
        <v>208</v>
      </c>
      <c r="M281" s="105" t="s">
        <v>211</v>
      </c>
      <c r="N281" s="115">
        <v>421515.12800000003</v>
      </c>
      <c r="O281" s="115"/>
      <c r="P281" s="115">
        <f t="shared" si="6"/>
        <v>0</v>
      </c>
      <c r="Q281" s="115"/>
      <c r="R281" s="115"/>
      <c r="S281" s="115"/>
      <c r="T281" s="115"/>
      <c r="U281" s="115"/>
      <c r="V281" s="115"/>
      <c r="W281" s="115"/>
      <c r="X281" s="115"/>
      <c r="Y281" s="115"/>
      <c r="Z281" s="115"/>
      <c r="AA281" s="115"/>
      <c r="AB281" s="115"/>
    </row>
    <row r="282" spans="1:28" ht="24">
      <c r="A282" s="107">
        <v>40017776</v>
      </c>
      <c r="B282" s="107">
        <v>31</v>
      </c>
      <c r="C282" s="103" t="s">
        <v>30</v>
      </c>
      <c r="D282" s="101"/>
      <c r="E282" s="101" t="s">
        <v>132</v>
      </c>
      <c r="F282" s="108" t="s">
        <v>576</v>
      </c>
      <c r="G282" s="101" t="s">
        <v>99</v>
      </c>
      <c r="H282" s="101" t="s">
        <v>154</v>
      </c>
      <c r="I282" s="101">
        <v>2021</v>
      </c>
      <c r="J282" s="101">
        <v>11216</v>
      </c>
      <c r="K282" s="142">
        <v>689354</v>
      </c>
      <c r="L282" s="270" t="s">
        <v>226</v>
      </c>
      <c r="M282" s="105" t="s">
        <v>171</v>
      </c>
      <c r="N282" s="115">
        <v>520000</v>
      </c>
      <c r="O282" s="115">
        <v>496218</v>
      </c>
      <c r="P282" s="115">
        <f t="shared" si="6"/>
        <v>0</v>
      </c>
      <c r="Q282" s="115"/>
      <c r="R282" s="115"/>
      <c r="S282" s="115"/>
      <c r="T282" s="115"/>
      <c r="U282" s="115"/>
      <c r="V282" s="115"/>
      <c r="W282" s="115"/>
      <c r="X282" s="115"/>
      <c r="Y282" s="115"/>
      <c r="Z282" s="115"/>
      <c r="AA282" s="115"/>
      <c r="AB282" s="115"/>
    </row>
    <row r="283" spans="1:28" ht="36">
      <c r="A283" s="107">
        <v>30147622</v>
      </c>
      <c r="B283" s="101">
        <v>31</v>
      </c>
      <c r="C283" s="103" t="s">
        <v>30</v>
      </c>
      <c r="D283" s="101"/>
      <c r="E283" s="101" t="s">
        <v>132</v>
      </c>
      <c r="F283" s="108" t="s">
        <v>577</v>
      </c>
      <c r="G283" s="101" t="s">
        <v>82</v>
      </c>
      <c r="H283" s="101" t="s">
        <v>141</v>
      </c>
      <c r="I283" s="101">
        <v>2018</v>
      </c>
      <c r="J283" s="101">
        <v>9636</v>
      </c>
      <c r="K283" s="146">
        <v>851434</v>
      </c>
      <c r="L283" s="117" t="s">
        <v>142</v>
      </c>
      <c r="M283" s="105" t="s">
        <v>152</v>
      </c>
      <c r="N283" s="115">
        <v>620000</v>
      </c>
      <c r="O283" s="115">
        <v>40000</v>
      </c>
      <c r="P283" s="115">
        <f t="shared" ref="P283:P346" si="7">SUM(Q283:AB283)</f>
        <v>0</v>
      </c>
      <c r="Q283" s="115"/>
      <c r="R283" s="115"/>
      <c r="S283" s="115"/>
      <c r="T283" s="115"/>
      <c r="U283" s="115"/>
      <c r="V283" s="115"/>
      <c r="W283" s="115"/>
      <c r="X283" s="115"/>
      <c r="Y283" s="115"/>
      <c r="Z283" s="115"/>
      <c r="AA283" s="115"/>
      <c r="AB283" s="115"/>
    </row>
    <row r="284" spans="1:28" ht="48">
      <c r="A284" s="116">
        <v>30107747</v>
      </c>
      <c r="B284" s="101">
        <v>31</v>
      </c>
      <c r="C284" s="103" t="s">
        <v>30</v>
      </c>
      <c r="D284" s="103"/>
      <c r="E284" s="101" t="s">
        <v>132</v>
      </c>
      <c r="F284" s="108" t="s">
        <v>578</v>
      </c>
      <c r="G284" s="117" t="s">
        <v>83</v>
      </c>
      <c r="H284" s="101" t="s">
        <v>141</v>
      </c>
      <c r="I284" s="101">
        <v>2023</v>
      </c>
      <c r="J284" s="101">
        <v>13598</v>
      </c>
      <c r="K284" s="146">
        <v>9010469</v>
      </c>
      <c r="L284" s="101" t="s">
        <v>148</v>
      </c>
      <c r="M284" s="105" t="s">
        <v>192</v>
      </c>
      <c r="N284" s="115">
        <v>160000</v>
      </c>
      <c r="O284" s="115">
        <v>72236</v>
      </c>
      <c r="P284" s="115">
        <f t="shared" si="7"/>
        <v>0</v>
      </c>
      <c r="Q284" s="115"/>
      <c r="R284" s="115"/>
      <c r="S284" s="115"/>
      <c r="T284" s="115"/>
      <c r="U284" s="115"/>
      <c r="V284" s="115"/>
      <c r="W284" s="115"/>
      <c r="X284" s="115"/>
      <c r="Y284" s="115"/>
      <c r="Z284" s="115"/>
      <c r="AA284" s="115"/>
      <c r="AB284" s="115"/>
    </row>
    <row r="285" spans="1:28" ht="36">
      <c r="A285" s="64">
        <v>30127968</v>
      </c>
      <c r="B285" s="103" t="s">
        <v>568</v>
      </c>
      <c r="C285" s="103" t="s">
        <v>30</v>
      </c>
      <c r="D285" s="265"/>
      <c r="E285" s="101" t="s">
        <v>132</v>
      </c>
      <c r="F285" s="108" t="s">
        <v>579</v>
      </c>
      <c r="G285" s="117" t="s">
        <v>91</v>
      </c>
      <c r="H285" s="101" t="s">
        <v>144</v>
      </c>
      <c r="I285" s="101">
        <v>2023</v>
      </c>
      <c r="J285" s="101">
        <v>13066</v>
      </c>
      <c r="K285" s="146">
        <v>257336</v>
      </c>
      <c r="L285" s="270" t="s">
        <v>500</v>
      </c>
      <c r="M285" s="105" t="s">
        <v>268</v>
      </c>
      <c r="N285" s="115">
        <v>257336</v>
      </c>
      <c r="O285" s="115">
        <v>142325</v>
      </c>
      <c r="P285" s="115">
        <f t="shared" si="7"/>
        <v>0</v>
      </c>
      <c r="Q285" s="115"/>
      <c r="R285" s="115"/>
      <c r="S285" s="115"/>
      <c r="T285" s="115"/>
      <c r="U285" s="115"/>
      <c r="V285" s="115"/>
      <c r="W285" s="115"/>
      <c r="X285" s="115"/>
      <c r="Y285" s="115"/>
      <c r="Z285" s="115"/>
      <c r="AA285" s="115"/>
      <c r="AB285" s="115"/>
    </row>
    <row r="286" spans="1:28" ht="24">
      <c r="A286" s="64">
        <v>40047608</v>
      </c>
      <c r="B286" s="103" t="s">
        <v>580</v>
      </c>
      <c r="C286" s="103" t="s">
        <v>27</v>
      </c>
      <c r="D286" s="265"/>
      <c r="E286" s="101" t="s">
        <v>132</v>
      </c>
      <c r="F286" s="108" t="s">
        <v>581</v>
      </c>
      <c r="G286" s="117" t="s">
        <v>103</v>
      </c>
      <c r="H286" s="101" t="s">
        <v>337</v>
      </c>
      <c r="I286" s="101">
        <v>2022</v>
      </c>
      <c r="J286" s="101">
        <v>12705</v>
      </c>
      <c r="K286" s="146">
        <v>199460</v>
      </c>
      <c r="L286" s="101" t="s">
        <v>301</v>
      </c>
      <c r="M286" s="105" t="s">
        <v>490</v>
      </c>
      <c r="N286" s="115"/>
      <c r="O286" s="115"/>
      <c r="P286" s="115">
        <f t="shared" si="7"/>
        <v>0</v>
      </c>
      <c r="Q286" s="115"/>
      <c r="R286" s="115"/>
      <c r="S286" s="115"/>
      <c r="T286" s="115"/>
      <c r="U286" s="115"/>
      <c r="V286" s="115"/>
      <c r="W286" s="115"/>
      <c r="X286" s="115"/>
      <c r="Y286" s="115"/>
      <c r="Z286" s="115"/>
      <c r="AA286" s="115"/>
      <c r="AB286" s="115"/>
    </row>
    <row r="287" spans="1:28" ht="15">
      <c r="A287" s="64"/>
      <c r="B287" s="103" t="s">
        <v>582</v>
      </c>
      <c r="C287" s="103" t="s">
        <v>27</v>
      </c>
      <c r="D287" s="265"/>
      <c r="E287" s="101"/>
      <c r="F287" s="108" t="s">
        <v>583</v>
      </c>
      <c r="G287" s="117" t="s">
        <v>211</v>
      </c>
      <c r="H287" s="101"/>
      <c r="I287" s="101"/>
      <c r="J287" s="101"/>
      <c r="K287" s="146"/>
      <c r="L287" s="101"/>
      <c r="M287" s="105" t="s">
        <v>211</v>
      </c>
      <c r="N287" s="115">
        <v>10757756</v>
      </c>
      <c r="O287" s="115"/>
      <c r="P287" s="115"/>
      <c r="Q287" s="115"/>
      <c r="R287" s="115"/>
      <c r="S287" s="115"/>
      <c r="T287" s="115"/>
      <c r="U287" s="115"/>
      <c r="V287" s="115"/>
      <c r="W287" s="115"/>
      <c r="X287" s="115"/>
      <c r="Y287" s="115"/>
      <c r="Z287" s="115"/>
      <c r="AA287" s="115"/>
      <c r="AB287" s="115"/>
    </row>
    <row r="288" spans="1:28" ht="24">
      <c r="A288" s="107">
        <v>40049541</v>
      </c>
      <c r="B288" s="107">
        <v>24</v>
      </c>
      <c r="C288" s="103" t="s">
        <v>27</v>
      </c>
      <c r="D288" s="265"/>
      <c r="E288" s="101" t="s">
        <v>132</v>
      </c>
      <c r="F288" s="108" t="s">
        <v>584</v>
      </c>
      <c r="G288" s="101" t="s">
        <v>82</v>
      </c>
      <c r="H288" s="101" t="s">
        <v>134</v>
      </c>
      <c r="I288" s="101">
        <v>2023</v>
      </c>
      <c r="J288" s="101">
        <v>12881</v>
      </c>
      <c r="K288" s="146">
        <f>345994+334320+587916</f>
        <v>1268230</v>
      </c>
      <c r="L288" s="101" t="s">
        <v>142</v>
      </c>
      <c r="M288" s="105" t="s">
        <v>132</v>
      </c>
      <c r="N288" s="115"/>
      <c r="O288" s="115">
        <v>394852</v>
      </c>
      <c r="P288" s="115">
        <f t="shared" si="7"/>
        <v>251303.60200000001</v>
      </c>
      <c r="Q288" s="115"/>
      <c r="R288" s="277">
        <v>84534.445000000007</v>
      </c>
      <c r="S288" s="115"/>
      <c r="T288" s="115">
        <v>28485.707999999999</v>
      </c>
      <c r="U288" s="115"/>
      <c r="V288" s="115">
        <v>138283.44899999999</v>
      </c>
      <c r="W288" s="115"/>
      <c r="X288" s="115"/>
      <c r="Y288" s="115"/>
      <c r="Z288" s="115"/>
      <c r="AA288" s="115"/>
      <c r="AB288" s="115"/>
    </row>
    <row r="289" spans="1:28" ht="24">
      <c r="A289" s="107">
        <v>40049729</v>
      </c>
      <c r="B289" s="107">
        <v>24</v>
      </c>
      <c r="C289" s="103" t="s">
        <v>27</v>
      </c>
      <c r="D289" s="265"/>
      <c r="E289" s="101" t="s">
        <v>132</v>
      </c>
      <c r="F289" s="108" t="s">
        <v>585</v>
      </c>
      <c r="G289" s="101" t="s">
        <v>97</v>
      </c>
      <c r="H289" s="101" t="s">
        <v>134</v>
      </c>
      <c r="I289" s="101">
        <v>2023</v>
      </c>
      <c r="J289" s="101">
        <v>12881</v>
      </c>
      <c r="K289" s="146">
        <f>471232+529894+795930</f>
        <v>1797056</v>
      </c>
      <c r="L289" s="101" t="s">
        <v>180</v>
      </c>
      <c r="M289" s="105" t="s">
        <v>132</v>
      </c>
      <c r="N289" s="115"/>
      <c r="O289" s="115">
        <v>728850</v>
      </c>
      <c r="P289" s="115">
        <f t="shared" si="7"/>
        <v>472208.89900000003</v>
      </c>
      <c r="Q289" s="115"/>
      <c r="R289" s="277">
        <v>321942.20400000003</v>
      </c>
      <c r="S289" s="115"/>
      <c r="T289" s="115">
        <v>23254.666000000001</v>
      </c>
      <c r="U289" s="115"/>
      <c r="V289" s="115">
        <v>127012.02899999999</v>
      </c>
      <c r="W289" s="115"/>
      <c r="X289" s="115"/>
      <c r="Y289" s="115"/>
      <c r="Z289" s="115"/>
      <c r="AA289" s="115"/>
      <c r="AB289" s="115"/>
    </row>
    <row r="290" spans="1:28" ht="24">
      <c r="A290" s="107">
        <v>40049676</v>
      </c>
      <c r="B290" s="107">
        <v>24</v>
      </c>
      <c r="C290" s="103" t="s">
        <v>27</v>
      </c>
      <c r="D290" s="265"/>
      <c r="E290" s="101" t="s">
        <v>132</v>
      </c>
      <c r="F290" s="108" t="s">
        <v>586</v>
      </c>
      <c r="G290" s="101" t="s">
        <v>90</v>
      </c>
      <c r="H290" s="101" t="s">
        <v>134</v>
      </c>
      <c r="I290" s="101">
        <v>2023</v>
      </c>
      <c r="J290" s="101">
        <v>12881</v>
      </c>
      <c r="K290" s="146">
        <f>420317+548883+708901</f>
        <v>1678101</v>
      </c>
      <c r="L290" s="101" t="s">
        <v>168</v>
      </c>
      <c r="M290" s="105" t="s">
        <v>132</v>
      </c>
      <c r="N290" s="115"/>
      <c r="O290" s="115">
        <v>722878</v>
      </c>
      <c r="P290" s="115">
        <f t="shared" si="7"/>
        <v>405746.43999999994</v>
      </c>
      <c r="Q290" s="115"/>
      <c r="R290" s="277">
        <v>2725.2629999999999</v>
      </c>
      <c r="S290" s="115">
        <v>286899.42</v>
      </c>
      <c r="T290" s="115"/>
      <c r="U290" s="115"/>
      <c r="V290" s="115">
        <v>116121.757</v>
      </c>
      <c r="W290" s="115"/>
      <c r="X290" s="115"/>
      <c r="Y290" s="115"/>
      <c r="Z290" s="115"/>
      <c r="AA290" s="115"/>
      <c r="AB290" s="115"/>
    </row>
    <row r="291" spans="1:28" ht="24">
      <c r="A291" s="107">
        <v>40049708</v>
      </c>
      <c r="B291" s="107">
        <v>24</v>
      </c>
      <c r="C291" s="103" t="s">
        <v>27</v>
      </c>
      <c r="D291" s="265"/>
      <c r="E291" s="101" t="s">
        <v>132</v>
      </c>
      <c r="F291" s="108" t="s">
        <v>587</v>
      </c>
      <c r="G291" s="101" t="s">
        <v>84</v>
      </c>
      <c r="H291" s="101" t="s">
        <v>134</v>
      </c>
      <c r="I291" s="101">
        <v>2023</v>
      </c>
      <c r="J291" s="101">
        <v>12881</v>
      </c>
      <c r="K291" s="146">
        <f>483942</f>
        <v>483942</v>
      </c>
      <c r="L291" s="101" t="s">
        <v>157</v>
      </c>
      <c r="M291" s="105" t="s">
        <v>132</v>
      </c>
      <c r="N291" s="115"/>
      <c r="O291" s="115">
        <v>0</v>
      </c>
      <c r="P291" s="115">
        <f t="shared" si="7"/>
        <v>0</v>
      </c>
      <c r="Q291" s="115"/>
      <c r="R291" s="115"/>
      <c r="S291" s="115"/>
      <c r="T291" s="115"/>
      <c r="U291" s="115"/>
      <c r="V291" s="115"/>
      <c r="W291" s="115"/>
      <c r="X291" s="115"/>
      <c r="Y291" s="115"/>
      <c r="Z291" s="115"/>
      <c r="AA291" s="115"/>
      <c r="AB291" s="115"/>
    </row>
    <row r="292" spans="1:28" ht="24">
      <c r="A292" s="107">
        <v>40049761</v>
      </c>
      <c r="B292" s="107">
        <v>24</v>
      </c>
      <c r="C292" s="103" t="s">
        <v>27</v>
      </c>
      <c r="D292" s="265"/>
      <c r="E292" s="101" t="s">
        <v>132</v>
      </c>
      <c r="F292" s="108" t="s">
        <v>588</v>
      </c>
      <c r="G292" s="101" t="s">
        <v>99</v>
      </c>
      <c r="H292" s="101" t="s">
        <v>134</v>
      </c>
      <c r="I292" s="101">
        <v>2023</v>
      </c>
      <c r="J292" s="101">
        <v>12881</v>
      </c>
      <c r="K292" s="146">
        <f>382761+664474+645041</f>
        <v>1692276</v>
      </c>
      <c r="L292" s="101" t="s">
        <v>226</v>
      </c>
      <c r="M292" s="105" t="s">
        <v>132</v>
      </c>
      <c r="N292" s="115"/>
      <c r="O292" s="115">
        <v>524676</v>
      </c>
      <c r="P292" s="115">
        <f t="shared" si="7"/>
        <v>381310.52300000004</v>
      </c>
      <c r="Q292" s="115"/>
      <c r="R292" s="277">
        <v>168358.45300000001</v>
      </c>
      <c r="S292" s="115"/>
      <c r="T292" s="115"/>
      <c r="U292" s="277">
        <v>132221.611</v>
      </c>
      <c r="V292" s="115">
        <v>80730.459000000003</v>
      </c>
      <c r="W292" s="115"/>
      <c r="X292" s="115"/>
      <c r="Y292" s="115"/>
      <c r="Z292" s="115"/>
      <c r="AA292" s="115"/>
      <c r="AB292" s="115"/>
    </row>
    <row r="293" spans="1:28" ht="24">
      <c r="A293" s="107">
        <v>40049689</v>
      </c>
      <c r="B293" s="107">
        <v>24</v>
      </c>
      <c r="C293" s="103" t="s">
        <v>27</v>
      </c>
      <c r="D293" s="265"/>
      <c r="E293" s="101" t="s">
        <v>132</v>
      </c>
      <c r="F293" s="108" t="s">
        <v>589</v>
      </c>
      <c r="G293" s="101" t="s">
        <v>85</v>
      </c>
      <c r="H293" s="101" t="s">
        <v>134</v>
      </c>
      <c r="I293" s="101">
        <v>2023</v>
      </c>
      <c r="J293" s="101">
        <v>12881</v>
      </c>
      <c r="K293" s="146">
        <f>450034+593438+759931</f>
        <v>1803403</v>
      </c>
      <c r="L293" s="101" t="s">
        <v>236</v>
      </c>
      <c r="M293" s="105" t="s">
        <v>132</v>
      </c>
      <c r="N293" s="115"/>
      <c r="O293" s="115">
        <v>639499</v>
      </c>
      <c r="P293" s="115">
        <f t="shared" si="7"/>
        <v>429428.41099999996</v>
      </c>
      <c r="Q293" s="115"/>
      <c r="R293" s="277">
        <v>234630.58799999999</v>
      </c>
      <c r="S293" s="115"/>
      <c r="T293" s="115"/>
      <c r="U293" s="277">
        <v>78897.141000000003</v>
      </c>
      <c r="V293" s="115">
        <v>115900.682</v>
      </c>
      <c r="W293" s="115"/>
      <c r="X293" s="115"/>
      <c r="Y293" s="115"/>
      <c r="Z293" s="115"/>
      <c r="AA293" s="115"/>
      <c r="AB293" s="115"/>
    </row>
    <row r="294" spans="1:28" ht="24">
      <c r="A294" s="107">
        <v>40049573</v>
      </c>
      <c r="B294" s="107">
        <v>24</v>
      </c>
      <c r="C294" s="103" t="s">
        <v>27</v>
      </c>
      <c r="D294" s="265"/>
      <c r="E294" s="101" t="s">
        <v>132</v>
      </c>
      <c r="F294" s="108" t="s">
        <v>590</v>
      </c>
      <c r="G294" s="101" t="s">
        <v>83</v>
      </c>
      <c r="H294" s="101" t="s">
        <v>134</v>
      </c>
      <c r="I294" s="101">
        <v>2023</v>
      </c>
      <c r="J294" s="101">
        <v>12881</v>
      </c>
      <c r="K294" s="146">
        <f>483941+322998+828706</f>
        <v>1635645</v>
      </c>
      <c r="L294" s="101" t="s">
        <v>148</v>
      </c>
      <c r="M294" s="105" t="s">
        <v>132</v>
      </c>
      <c r="N294" s="115"/>
      <c r="O294" s="115">
        <v>527722</v>
      </c>
      <c r="P294" s="115">
        <f t="shared" si="7"/>
        <v>160592.14799999999</v>
      </c>
      <c r="Q294" s="115"/>
      <c r="R294" s="115"/>
      <c r="S294" s="115"/>
      <c r="T294" s="115">
        <v>60476.182000000001</v>
      </c>
      <c r="U294" s="277">
        <v>65607.608999999997</v>
      </c>
      <c r="V294" s="115">
        <v>34508.357000000004</v>
      </c>
      <c r="W294" s="115"/>
      <c r="X294" s="115"/>
      <c r="Y294" s="115"/>
      <c r="Z294" s="115"/>
      <c r="AA294" s="115"/>
      <c r="AB294" s="115"/>
    </row>
    <row r="295" spans="1:28" ht="24">
      <c r="A295" s="107">
        <v>40049774</v>
      </c>
      <c r="B295" s="107">
        <v>24</v>
      </c>
      <c r="C295" s="103" t="s">
        <v>27</v>
      </c>
      <c r="D295" s="265"/>
      <c r="E295" s="101" t="s">
        <v>132</v>
      </c>
      <c r="F295" s="108" t="s">
        <v>591</v>
      </c>
      <c r="G295" s="117" t="s">
        <v>98</v>
      </c>
      <c r="H295" s="101" t="s">
        <v>134</v>
      </c>
      <c r="I295" s="101">
        <v>2023</v>
      </c>
      <c r="J295" s="101">
        <v>12881</v>
      </c>
      <c r="K295" s="146">
        <f>373779+416875+636872</f>
        <v>1427526</v>
      </c>
      <c r="L295" s="101" t="s">
        <v>151</v>
      </c>
      <c r="M295" s="105" t="s">
        <v>132</v>
      </c>
      <c r="N295" s="115"/>
      <c r="O295" s="115">
        <v>484039</v>
      </c>
      <c r="P295" s="115">
        <f t="shared" si="7"/>
        <v>225327.19199999998</v>
      </c>
      <c r="Q295" s="115"/>
      <c r="R295" s="115"/>
      <c r="S295" s="115"/>
      <c r="T295" s="115">
        <v>134887.08199999999</v>
      </c>
      <c r="U295" s="277">
        <v>14976.72</v>
      </c>
      <c r="V295" s="115">
        <v>75463.39</v>
      </c>
      <c r="W295" s="115"/>
      <c r="X295" s="115"/>
      <c r="Y295" s="115"/>
      <c r="Z295" s="115"/>
      <c r="AA295" s="115"/>
      <c r="AB295" s="115"/>
    </row>
    <row r="296" spans="1:28" ht="24">
      <c r="A296" s="107">
        <v>40049721</v>
      </c>
      <c r="B296" s="107">
        <v>24</v>
      </c>
      <c r="C296" s="103" t="s">
        <v>27</v>
      </c>
      <c r="D296" s="265"/>
      <c r="E296" s="101" t="s">
        <v>132</v>
      </c>
      <c r="F296" s="108" t="s">
        <v>592</v>
      </c>
      <c r="G296" s="101" t="s">
        <v>92</v>
      </c>
      <c r="H296" s="101" t="s">
        <v>134</v>
      </c>
      <c r="I296" s="101">
        <v>2023</v>
      </c>
      <c r="J296" s="101">
        <v>12881</v>
      </c>
      <c r="K296" s="146">
        <f>428727+571333+719400</f>
        <v>1719460</v>
      </c>
      <c r="L296" s="101" t="s">
        <v>159</v>
      </c>
      <c r="M296" s="105" t="s">
        <v>132</v>
      </c>
      <c r="N296" s="115"/>
      <c r="O296" s="115">
        <v>875914</v>
      </c>
      <c r="P296" s="115">
        <f t="shared" si="7"/>
        <v>429027.136</v>
      </c>
      <c r="Q296" s="115"/>
      <c r="R296" s="277">
        <v>255899.02</v>
      </c>
      <c r="S296" s="115"/>
      <c r="T296" s="115">
        <v>173128.11600000001</v>
      </c>
      <c r="U296" s="115"/>
      <c r="V296" s="115"/>
      <c r="W296" s="115"/>
      <c r="X296" s="115"/>
      <c r="Y296" s="115"/>
      <c r="Z296" s="115"/>
      <c r="AA296" s="115"/>
      <c r="AB296" s="115"/>
    </row>
    <row r="297" spans="1:28" ht="24">
      <c r="A297" s="107">
        <v>40049753</v>
      </c>
      <c r="B297" s="107">
        <v>24</v>
      </c>
      <c r="C297" s="103" t="s">
        <v>27</v>
      </c>
      <c r="D297" s="265"/>
      <c r="E297" s="101" t="s">
        <v>132</v>
      </c>
      <c r="F297" s="108" t="s">
        <v>593</v>
      </c>
      <c r="G297" s="101" t="s">
        <v>91</v>
      </c>
      <c r="H297" s="101" t="s">
        <v>134</v>
      </c>
      <c r="I297" s="101">
        <v>2023</v>
      </c>
      <c r="J297" s="101">
        <v>12881</v>
      </c>
      <c r="K297" s="146">
        <f>433860+573644+729325</f>
        <v>1736829</v>
      </c>
      <c r="L297" s="101" t="s">
        <v>138</v>
      </c>
      <c r="M297" s="105" t="s">
        <v>132</v>
      </c>
      <c r="N297" s="115"/>
      <c r="O297" s="115">
        <v>724357</v>
      </c>
      <c r="P297" s="115">
        <f t="shared" si="7"/>
        <v>366061.62</v>
      </c>
      <c r="Q297" s="115"/>
      <c r="R297" s="277">
        <v>9457.5</v>
      </c>
      <c r="S297" s="115">
        <v>335433.54499999998</v>
      </c>
      <c r="T297" s="115"/>
      <c r="U297" s="277">
        <v>21170.575000000001</v>
      </c>
      <c r="V297" s="115"/>
      <c r="W297" s="115"/>
      <c r="X297" s="115"/>
      <c r="Y297" s="115"/>
      <c r="Z297" s="115"/>
      <c r="AA297" s="115"/>
      <c r="AB297" s="115"/>
    </row>
    <row r="298" spans="1:28" ht="24">
      <c r="A298" s="107">
        <v>40049777</v>
      </c>
      <c r="B298" s="107">
        <v>24</v>
      </c>
      <c r="C298" s="103" t="s">
        <v>27</v>
      </c>
      <c r="D298" s="265"/>
      <c r="E298" s="101" t="s">
        <v>132</v>
      </c>
      <c r="F298" s="108" t="s">
        <v>594</v>
      </c>
      <c r="G298" s="101" t="s">
        <v>86</v>
      </c>
      <c r="H298" s="101" t="s">
        <v>134</v>
      </c>
      <c r="I298" s="101">
        <v>2023</v>
      </c>
      <c r="J298" s="101">
        <v>12881</v>
      </c>
      <c r="K298" s="146">
        <f>407731+346234+686561</f>
        <v>1440526</v>
      </c>
      <c r="L298" s="101" t="s">
        <v>195</v>
      </c>
      <c r="M298" s="105" t="s">
        <v>132</v>
      </c>
      <c r="N298" s="115"/>
      <c r="O298" s="115">
        <v>550831</v>
      </c>
      <c r="P298" s="115">
        <f t="shared" si="7"/>
        <v>341370.53200000001</v>
      </c>
      <c r="Q298" s="115"/>
      <c r="R298" s="277">
        <v>95852.475000000006</v>
      </c>
      <c r="S298" s="115">
        <v>109756.227</v>
      </c>
      <c r="T298" s="115"/>
      <c r="U298" s="277">
        <v>53512.794999999998</v>
      </c>
      <c r="V298" s="115">
        <v>82249.035000000003</v>
      </c>
      <c r="W298" s="115"/>
      <c r="X298" s="115"/>
      <c r="Y298" s="115"/>
      <c r="Z298" s="115"/>
      <c r="AA298" s="115"/>
      <c r="AB298" s="115"/>
    </row>
    <row r="299" spans="1:28" ht="24">
      <c r="A299" s="107">
        <v>40049687</v>
      </c>
      <c r="B299" s="107">
        <v>24</v>
      </c>
      <c r="C299" s="103" t="s">
        <v>27</v>
      </c>
      <c r="D299" s="265"/>
      <c r="E299" s="101" t="s">
        <v>132</v>
      </c>
      <c r="F299" s="108" t="s">
        <v>595</v>
      </c>
      <c r="G299" s="101" t="s">
        <v>93</v>
      </c>
      <c r="H299" s="101" t="s">
        <v>134</v>
      </c>
      <c r="I299" s="101">
        <v>2023</v>
      </c>
      <c r="J299" s="101">
        <v>12881</v>
      </c>
      <c r="K299" s="146">
        <f>421089+579827+709730</f>
        <v>1710646</v>
      </c>
      <c r="L299" s="101" t="s">
        <v>162</v>
      </c>
      <c r="M299" s="105" t="s">
        <v>132</v>
      </c>
      <c r="N299" s="115"/>
      <c r="O299" s="115">
        <v>745407</v>
      </c>
      <c r="P299" s="115">
        <f t="shared" si="7"/>
        <v>333753.52500000002</v>
      </c>
      <c r="Q299" s="115"/>
      <c r="R299" s="277">
        <v>148729.62599999999</v>
      </c>
      <c r="S299" s="115"/>
      <c r="T299" s="115">
        <v>80686.804000000004</v>
      </c>
      <c r="U299" s="277">
        <v>104337.095</v>
      </c>
      <c r="V299" s="115"/>
      <c r="W299" s="115"/>
      <c r="X299" s="115"/>
      <c r="Y299" s="115"/>
      <c r="Z299" s="115"/>
      <c r="AA299" s="115"/>
      <c r="AB299" s="115"/>
    </row>
    <row r="300" spans="1:28" ht="24">
      <c r="A300" s="107">
        <v>40049628</v>
      </c>
      <c r="B300" s="107">
        <v>24</v>
      </c>
      <c r="C300" s="103" t="s">
        <v>27</v>
      </c>
      <c r="D300" s="265"/>
      <c r="E300" s="101" t="s">
        <v>132</v>
      </c>
      <c r="F300" s="108" t="s">
        <v>596</v>
      </c>
      <c r="G300" s="101" t="s">
        <v>94</v>
      </c>
      <c r="H300" s="101" t="s">
        <v>134</v>
      </c>
      <c r="I300" s="101">
        <v>2023</v>
      </c>
      <c r="J300" s="101">
        <v>12881</v>
      </c>
      <c r="K300" s="146">
        <f>503094+739270+807770</f>
        <v>2050134</v>
      </c>
      <c r="L300" s="101" t="s">
        <v>220</v>
      </c>
      <c r="M300" s="105" t="s">
        <v>132</v>
      </c>
      <c r="N300" s="115"/>
      <c r="O300" s="115">
        <v>630284</v>
      </c>
      <c r="P300" s="115">
        <f t="shared" si="7"/>
        <v>93262.259000000005</v>
      </c>
      <c r="Q300" s="115"/>
      <c r="R300" s="277">
        <v>93262.259000000005</v>
      </c>
      <c r="S300" s="115"/>
      <c r="T300" s="115"/>
      <c r="U300" s="115"/>
      <c r="V300" s="115"/>
      <c r="W300" s="115"/>
      <c r="X300" s="115"/>
      <c r="Y300" s="115"/>
      <c r="Z300" s="115"/>
      <c r="AA300" s="115"/>
      <c r="AB300" s="115"/>
    </row>
    <row r="301" spans="1:28" ht="24">
      <c r="A301" s="107">
        <v>40049769</v>
      </c>
      <c r="B301" s="107">
        <v>24</v>
      </c>
      <c r="C301" s="103" t="s">
        <v>27</v>
      </c>
      <c r="D301" s="265"/>
      <c r="E301" s="101" t="s">
        <v>132</v>
      </c>
      <c r="F301" s="108" t="s">
        <v>597</v>
      </c>
      <c r="G301" s="101" t="s">
        <v>100</v>
      </c>
      <c r="H301" s="101" t="s">
        <v>134</v>
      </c>
      <c r="I301" s="101">
        <v>2023</v>
      </c>
      <c r="J301" s="101">
        <v>12881</v>
      </c>
      <c r="K301" s="146">
        <f>400959+647393+676349</f>
        <v>1724701</v>
      </c>
      <c r="L301" s="101" t="s">
        <v>199</v>
      </c>
      <c r="M301" s="105" t="s">
        <v>132</v>
      </c>
      <c r="N301" s="115"/>
      <c r="O301" s="115">
        <v>738021</v>
      </c>
      <c r="P301" s="115">
        <f t="shared" si="7"/>
        <v>308249.348</v>
      </c>
      <c r="Q301" s="115"/>
      <c r="R301" s="277">
        <v>187144.39499999999</v>
      </c>
      <c r="S301" s="115">
        <v>121104.95299999999</v>
      </c>
      <c r="T301" s="115"/>
      <c r="U301" s="115"/>
      <c r="V301" s="115"/>
      <c r="W301" s="115"/>
      <c r="X301" s="115"/>
      <c r="Y301" s="115"/>
      <c r="Z301" s="115"/>
      <c r="AA301" s="115"/>
      <c r="AB301" s="115"/>
    </row>
    <row r="302" spans="1:28" ht="24">
      <c r="A302" s="107">
        <v>40049384</v>
      </c>
      <c r="B302" s="107">
        <v>24</v>
      </c>
      <c r="C302" s="103" t="s">
        <v>27</v>
      </c>
      <c r="D302" s="265"/>
      <c r="E302" s="101" t="s">
        <v>132</v>
      </c>
      <c r="F302" s="108" t="s">
        <v>598</v>
      </c>
      <c r="G302" s="101" t="s">
        <v>87</v>
      </c>
      <c r="H302" s="101" t="s">
        <v>134</v>
      </c>
      <c r="I302" s="101">
        <v>2023</v>
      </c>
      <c r="J302" s="101">
        <v>12881</v>
      </c>
      <c r="K302" s="146">
        <f>376283+541696+636616</f>
        <v>1554595</v>
      </c>
      <c r="L302" s="101" t="s">
        <v>223</v>
      </c>
      <c r="M302" s="105" t="s">
        <v>132</v>
      </c>
      <c r="N302" s="115"/>
      <c r="O302" s="115">
        <v>566328</v>
      </c>
      <c r="P302" s="115">
        <f t="shared" si="7"/>
        <v>235168.79699999999</v>
      </c>
      <c r="Q302" s="115"/>
      <c r="R302" s="277">
        <v>205100.166</v>
      </c>
      <c r="S302" s="115"/>
      <c r="T302" s="115">
        <v>18123.791000000001</v>
      </c>
      <c r="U302" s="115"/>
      <c r="V302" s="115">
        <v>11944.84</v>
      </c>
      <c r="W302" s="115"/>
      <c r="X302" s="115"/>
      <c r="Y302" s="115"/>
      <c r="Z302" s="115"/>
      <c r="AA302" s="115"/>
      <c r="AB302" s="115"/>
    </row>
    <row r="303" spans="1:28" ht="24">
      <c r="A303" s="267">
        <v>40044739</v>
      </c>
      <c r="B303" s="101">
        <v>29</v>
      </c>
      <c r="C303" s="103" t="s">
        <v>27</v>
      </c>
      <c r="D303" s="103"/>
      <c r="E303" s="101" t="s">
        <v>132</v>
      </c>
      <c r="F303" s="108" t="s">
        <v>599</v>
      </c>
      <c r="G303" s="117" t="s">
        <v>87</v>
      </c>
      <c r="H303" s="101" t="s">
        <v>147</v>
      </c>
      <c r="I303" s="101">
        <v>2024</v>
      </c>
      <c r="J303" s="101">
        <v>13835</v>
      </c>
      <c r="K303" s="146">
        <v>89607</v>
      </c>
      <c r="L303" s="101" t="s">
        <v>173</v>
      </c>
      <c r="M303" s="105" t="s">
        <v>152</v>
      </c>
      <c r="N303" s="115">
        <v>93370</v>
      </c>
      <c r="O303" s="115">
        <v>1000</v>
      </c>
      <c r="P303" s="115">
        <f t="shared" si="7"/>
        <v>0</v>
      </c>
      <c r="Q303" s="115"/>
      <c r="R303" s="115"/>
      <c r="S303" s="115"/>
      <c r="T303" s="115"/>
      <c r="U303" s="115"/>
      <c r="V303" s="115"/>
      <c r="W303" s="115"/>
      <c r="X303" s="115"/>
      <c r="Y303" s="115"/>
      <c r="Z303" s="115"/>
      <c r="AA303" s="115"/>
      <c r="AB303" s="115"/>
    </row>
    <row r="304" spans="1:28" ht="36">
      <c r="A304" s="64">
        <v>40048762</v>
      </c>
      <c r="B304" s="107">
        <v>29</v>
      </c>
      <c r="C304" s="103" t="s">
        <v>27</v>
      </c>
      <c r="D304" s="101"/>
      <c r="E304" s="101" t="s">
        <v>132</v>
      </c>
      <c r="F304" s="108" t="s">
        <v>600</v>
      </c>
      <c r="G304" s="101" t="s">
        <v>83</v>
      </c>
      <c r="H304" s="101" t="s">
        <v>147</v>
      </c>
      <c r="I304" s="101">
        <v>2023</v>
      </c>
      <c r="J304" s="101">
        <v>13202</v>
      </c>
      <c r="K304" s="146">
        <v>164425</v>
      </c>
      <c r="L304" s="101" t="s">
        <v>173</v>
      </c>
      <c r="M304" s="105" t="s">
        <v>132</v>
      </c>
      <c r="N304" s="115">
        <v>164425</v>
      </c>
      <c r="O304" s="115">
        <v>147192</v>
      </c>
      <c r="P304" s="115">
        <f t="shared" si="7"/>
        <v>147191.1</v>
      </c>
      <c r="Q304" s="115"/>
      <c r="R304" s="115"/>
      <c r="S304" s="115"/>
      <c r="T304" s="115">
        <v>147191.1</v>
      </c>
      <c r="U304" s="115"/>
      <c r="V304" s="115"/>
      <c r="W304" s="115"/>
      <c r="X304" s="115"/>
      <c r="Y304" s="115"/>
      <c r="Z304" s="115"/>
      <c r="AA304" s="115"/>
      <c r="AB304" s="115"/>
    </row>
    <row r="305" spans="1:28" ht="24">
      <c r="A305" s="64">
        <v>30486611</v>
      </c>
      <c r="B305" s="103" t="s">
        <v>568</v>
      </c>
      <c r="C305" s="103" t="s">
        <v>30</v>
      </c>
      <c r="D305" s="265"/>
      <c r="E305" s="101" t="s">
        <v>132</v>
      </c>
      <c r="F305" s="108" t="s">
        <v>601</v>
      </c>
      <c r="G305" s="117" t="s">
        <v>100</v>
      </c>
      <c r="H305" s="101" t="s">
        <v>150</v>
      </c>
      <c r="I305" s="101">
        <v>2023</v>
      </c>
      <c r="J305" s="101">
        <v>13145</v>
      </c>
      <c r="K305" s="146">
        <v>962224</v>
      </c>
      <c r="L305" s="270" t="s">
        <v>199</v>
      </c>
      <c r="M305" s="105" t="s">
        <v>132</v>
      </c>
      <c r="N305" s="115">
        <v>477248</v>
      </c>
      <c r="O305" s="115">
        <v>211972</v>
      </c>
      <c r="P305" s="115">
        <f t="shared" si="7"/>
        <v>7200</v>
      </c>
      <c r="Q305" s="115"/>
      <c r="R305" s="115"/>
      <c r="S305" s="115">
        <v>3600</v>
      </c>
      <c r="T305" s="115">
        <v>3600</v>
      </c>
      <c r="U305" s="115"/>
      <c r="V305" s="115"/>
      <c r="W305" s="115"/>
      <c r="X305" s="115"/>
      <c r="Y305" s="115"/>
      <c r="Z305" s="115"/>
      <c r="AA305" s="115"/>
      <c r="AB305" s="115"/>
    </row>
    <row r="306" spans="1:28" ht="36">
      <c r="A306" s="64">
        <v>40045668</v>
      </c>
      <c r="B306" s="103" t="s">
        <v>525</v>
      </c>
      <c r="C306" s="103" t="s">
        <v>27</v>
      </c>
      <c r="D306" s="265"/>
      <c r="E306" s="101" t="s">
        <v>132</v>
      </c>
      <c r="F306" s="108" t="s">
        <v>602</v>
      </c>
      <c r="G306" s="117" t="s">
        <v>103</v>
      </c>
      <c r="H306" s="101" t="s">
        <v>150</v>
      </c>
      <c r="I306" s="101">
        <v>2023</v>
      </c>
      <c r="J306" s="101">
        <v>13145</v>
      </c>
      <c r="K306" s="146">
        <v>313034</v>
      </c>
      <c r="L306" s="270" t="s">
        <v>387</v>
      </c>
      <c r="M306" s="105" t="s">
        <v>166</v>
      </c>
      <c r="N306" s="115"/>
      <c r="O306" s="115"/>
      <c r="P306" s="115">
        <f t="shared" si="7"/>
        <v>0</v>
      </c>
      <c r="Q306" s="115"/>
      <c r="R306" s="115"/>
      <c r="S306" s="115"/>
      <c r="T306" s="115"/>
      <c r="U306" s="115"/>
      <c r="V306" s="115"/>
      <c r="W306" s="115"/>
      <c r="X306" s="115"/>
      <c r="Y306" s="115"/>
      <c r="Z306" s="115"/>
      <c r="AA306" s="115"/>
      <c r="AB306" s="115"/>
    </row>
    <row r="307" spans="1:28" ht="36">
      <c r="A307" s="107">
        <v>40011807</v>
      </c>
      <c r="B307" s="103" t="s">
        <v>525</v>
      </c>
      <c r="C307" s="103" t="s">
        <v>27</v>
      </c>
      <c r="D307" s="101"/>
      <c r="E307" s="101" t="s">
        <v>132</v>
      </c>
      <c r="F307" s="108" t="s">
        <v>603</v>
      </c>
      <c r="G307" s="101" t="s">
        <v>85</v>
      </c>
      <c r="H307" s="101" t="s">
        <v>161</v>
      </c>
      <c r="I307" s="101">
        <v>2023</v>
      </c>
      <c r="J307" s="101">
        <v>13203</v>
      </c>
      <c r="K307" s="146">
        <v>556905</v>
      </c>
      <c r="L307" s="270" t="s">
        <v>236</v>
      </c>
      <c r="M307" s="105" t="s">
        <v>171</v>
      </c>
      <c r="N307" s="115">
        <v>1000</v>
      </c>
      <c r="O307" s="115"/>
      <c r="P307" s="115">
        <f t="shared" si="7"/>
        <v>0</v>
      </c>
      <c r="Q307" s="115"/>
      <c r="R307" s="115"/>
      <c r="S307" s="115"/>
      <c r="T307" s="115"/>
      <c r="U307" s="115"/>
      <c r="V307" s="115"/>
      <c r="W307" s="115"/>
      <c r="X307" s="115"/>
      <c r="Y307" s="115"/>
      <c r="Z307" s="115"/>
      <c r="AA307" s="115"/>
      <c r="AB307" s="115"/>
    </row>
    <row r="308" spans="1:28" ht="24">
      <c r="A308" s="64">
        <v>40021817</v>
      </c>
      <c r="B308" s="103" t="s">
        <v>568</v>
      </c>
      <c r="C308" s="103" t="s">
        <v>30</v>
      </c>
      <c r="D308" s="265"/>
      <c r="E308" s="101" t="s">
        <v>132</v>
      </c>
      <c r="F308" s="108" t="s">
        <v>604</v>
      </c>
      <c r="G308" s="117" t="s">
        <v>98</v>
      </c>
      <c r="H308" s="101" t="s">
        <v>204</v>
      </c>
      <c r="I308" s="101">
        <v>2023</v>
      </c>
      <c r="J308" s="101">
        <v>13066</v>
      </c>
      <c r="K308" s="146">
        <v>3818182</v>
      </c>
      <c r="L308" s="270" t="s">
        <v>151</v>
      </c>
      <c r="M308" s="105" t="s">
        <v>171</v>
      </c>
      <c r="N308" s="115">
        <v>450000</v>
      </c>
      <c r="O308" s="115">
        <v>132000</v>
      </c>
      <c r="P308" s="115">
        <f t="shared" si="7"/>
        <v>0</v>
      </c>
      <c r="Q308" s="115"/>
      <c r="R308" s="115"/>
      <c r="S308" s="115"/>
      <c r="T308" s="115"/>
      <c r="U308" s="115"/>
      <c r="V308" s="115"/>
      <c r="W308" s="115"/>
      <c r="X308" s="115"/>
      <c r="Y308" s="115"/>
      <c r="Z308" s="115"/>
      <c r="AA308" s="115"/>
      <c r="AB308" s="115"/>
    </row>
    <row r="309" spans="1:28" ht="15">
      <c r="A309" s="278">
        <v>40058940</v>
      </c>
      <c r="B309" s="238">
        <v>33</v>
      </c>
      <c r="C309" s="224" t="s">
        <v>27</v>
      </c>
      <c r="D309" s="265"/>
      <c r="E309" s="101" t="s">
        <v>132</v>
      </c>
      <c r="F309" s="279" t="s">
        <v>605</v>
      </c>
      <c r="G309" s="236" t="s">
        <v>103</v>
      </c>
      <c r="H309" s="101" t="s">
        <v>134</v>
      </c>
      <c r="I309" s="101">
        <v>2023</v>
      </c>
      <c r="J309" s="101">
        <v>13061</v>
      </c>
      <c r="K309" s="146">
        <v>975385</v>
      </c>
      <c r="L309" s="239" t="s">
        <v>342</v>
      </c>
      <c r="M309" s="105" t="s">
        <v>132</v>
      </c>
      <c r="N309" s="115">
        <v>1094606</v>
      </c>
      <c r="O309" s="115">
        <v>1094606</v>
      </c>
      <c r="P309" s="115">
        <f t="shared" si="7"/>
        <v>1547.761</v>
      </c>
      <c r="Q309" s="115"/>
      <c r="R309" s="115"/>
      <c r="S309" s="115">
        <v>212.74</v>
      </c>
      <c r="T309" s="115">
        <v>335.02100000000002</v>
      </c>
      <c r="U309" s="115">
        <v>1000</v>
      </c>
      <c r="V309" s="115"/>
      <c r="W309" s="115"/>
      <c r="X309" s="115"/>
      <c r="Y309" s="115"/>
      <c r="Z309" s="115"/>
      <c r="AA309" s="115"/>
      <c r="AB309" s="277"/>
    </row>
    <row r="310" spans="1:28" ht="36">
      <c r="A310" s="64">
        <v>30093586</v>
      </c>
      <c r="B310" s="103" t="s">
        <v>568</v>
      </c>
      <c r="C310" s="103" t="s">
        <v>30</v>
      </c>
      <c r="D310" s="101"/>
      <c r="E310" s="101" t="s">
        <v>132</v>
      </c>
      <c r="F310" s="108" t="s">
        <v>606</v>
      </c>
      <c r="G310" s="117" t="s">
        <v>82</v>
      </c>
      <c r="H310" s="101" t="s">
        <v>141</v>
      </c>
      <c r="I310" s="101">
        <v>2023</v>
      </c>
      <c r="J310" s="101">
        <v>13066</v>
      </c>
      <c r="K310" s="146">
        <v>10360718</v>
      </c>
      <c r="L310" s="270" t="s">
        <v>142</v>
      </c>
      <c r="M310" s="105" t="s">
        <v>490</v>
      </c>
      <c r="N310" s="115">
        <v>480000</v>
      </c>
      <c r="O310" s="115">
        <v>92188</v>
      </c>
      <c r="P310" s="115">
        <f t="shared" si="7"/>
        <v>0</v>
      </c>
      <c r="Q310" s="115"/>
      <c r="R310" s="115"/>
      <c r="S310" s="115"/>
      <c r="T310" s="115"/>
      <c r="U310" s="115"/>
      <c r="V310" s="115"/>
      <c r="W310" s="115"/>
      <c r="X310" s="115"/>
      <c r="Y310" s="115"/>
      <c r="Z310" s="115"/>
      <c r="AA310" s="115"/>
      <c r="AB310" s="115"/>
    </row>
    <row r="311" spans="1:28" ht="24">
      <c r="A311" s="268">
        <v>30107156</v>
      </c>
      <c r="B311" s="101">
        <v>31</v>
      </c>
      <c r="C311" s="103" t="s">
        <v>30</v>
      </c>
      <c r="D311" s="103"/>
      <c r="E311" s="101" t="s">
        <v>132</v>
      </c>
      <c r="F311" s="108" t="s">
        <v>607</v>
      </c>
      <c r="G311" s="117" t="s">
        <v>97</v>
      </c>
      <c r="H311" s="101" t="s">
        <v>147</v>
      </c>
      <c r="I311" s="101">
        <v>2023</v>
      </c>
      <c r="J311" s="101">
        <v>13693</v>
      </c>
      <c r="K311" s="146">
        <v>1793660</v>
      </c>
      <c r="L311" s="101" t="s">
        <v>173</v>
      </c>
      <c r="M311" s="105" t="s">
        <v>164</v>
      </c>
      <c r="N311" s="115">
        <v>179000</v>
      </c>
      <c r="O311" s="115">
        <v>377622</v>
      </c>
      <c r="P311" s="115">
        <f t="shared" si="7"/>
        <v>0</v>
      </c>
      <c r="Q311" s="115"/>
      <c r="R311" s="115"/>
      <c r="S311" s="115"/>
      <c r="T311" s="115"/>
      <c r="U311" s="115"/>
      <c r="V311" s="115"/>
      <c r="W311" s="115"/>
      <c r="X311" s="115"/>
      <c r="Y311" s="115"/>
      <c r="Z311" s="115"/>
      <c r="AA311" s="115"/>
      <c r="AB311" s="115"/>
    </row>
    <row r="312" spans="1:28" ht="24">
      <c r="A312" s="226">
        <v>30369072</v>
      </c>
      <c r="B312" s="107">
        <v>31</v>
      </c>
      <c r="C312" s="103" t="s">
        <v>30</v>
      </c>
      <c r="D312" s="101"/>
      <c r="E312" s="101" t="s">
        <v>132</v>
      </c>
      <c r="F312" s="108" t="s">
        <v>608</v>
      </c>
      <c r="G312" s="101" t="s">
        <v>86</v>
      </c>
      <c r="H312" s="101" t="s">
        <v>147</v>
      </c>
      <c r="I312" s="101">
        <v>2019</v>
      </c>
      <c r="J312" s="101">
        <v>10023</v>
      </c>
      <c r="K312" s="142">
        <v>589505</v>
      </c>
      <c r="L312" s="101" t="s">
        <v>173</v>
      </c>
      <c r="M312" s="105" t="s">
        <v>243</v>
      </c>
      <c r="N312" s="115">
        <v>1000</v>
      </c>
      <c r="O312" s="115"/>
      <c r="P312" s="115">
        <f t="shared" si="7"/>
        <v>0</v>
      </c>
      <c r="Q312" s="115"/>
      <c r="R312" s="115"/>
      <c r="S312" s="115"/>
      <c r="T312" s="115"/>
      <c r="U312" s="115"/>
      <c r="V312" s="115"/>
      <c r="W312" s="115"/>
      <c r="X312" s="115"/>
      <c r="Y312" s="115"/>
      <c r="Z312" s="115"/>
      <c r="AA312" s="115"/>
      <c r="AB312" s="115"/>
    </row>
    <row r="313" spans="1:28" ht="28.5" customHeight="1">
      <c r="A313" s="226">
        <v>40014111</v>
      </c>
      <c r="B313" s="107">
        <v>31</v>
      </c>
      <c r="C313" s="103" t="s">
        <v>30</v>
      </c>
      <c r="D313" s="107"/>
      <c r="E313" s="101" t="s">
        <v>132</v>
      </c>
      <c r="F313" s="108" t="s">
        <v>609</v>
      </c>
      <c r="G313" s="101" t="s">
        <v>84</v>
      </c>
      <c r="H313" s="101" t="s">
        <v>147</v>
      </c>
      <c r="I313" s="101">
        <v>2020</v>
      </c>
      <c r="J313" s="64">
        <v>10339</v>
      </c>
      <c r="K313" s="142">
        <v>304721.51799999998</v>
      </c>
      <c r="L313" s="101" t="s">
        <v>173</v>
      </c>
      <c r="M313" s="105" t="s">
        <v>177</v>
      </c>
      <c r="N313" s="115">
        <v>1000</v>
      </c>
      <c r="O313" s="115">
        <v>25000</v>
      </c>
      <c r="P313" s="115">
        <f t="shared" si="7"/>
        <v>0</v>
      </c>
      <c r="Q313" s="115"/>
      <c r="R313" s="115"/>
      <c r="S313" s="115"/>
      <c r="T313" s="115"/>
      <c r="U313" s="115"/>
      <c r="V313" s="115"/>
      <c r="W313" s="115"/>
      <c r="X313" s="115"/>
      <c r="Y313" s="115"/>
      <c r="Z313" s="115"/>
      <c r="AA313" s="115"/>
      <c r="AB313" s="115"/>
    </row>
    <row r="314" spans="1:28" ht="24">
      <c r="A314" s="226">
        <v>40037651</v>
      </c>
      <c r="B314" s="107">
        <v>29</v>
      </c>
      <c r="C314" s="103" t="s">
        <v>27</v>
      </c>
      <c r="D314" s="107"/>
      <c r="E314" s="101" t="s">
        <v>132</v>
      </c>
      <c r="F314" s="108" t="s">
        <v>610</v>
      </c>
      <c r="G314" s="117" t="s">
        <v>103</v>
      </c>
      <c r="H314" s="101" t="s">
        <v>147</v>
      </c>
      <c r="I314" s="101">
        <v>2023</v>
      </c>
      <c r="J314" s="101">
        <v>12956</v>
      </c>
      <c r="K314" s="146">
        <v>1994278</v>
      </c>
      <c r="L314" s="101" t="s">
        <v>173</v>
      </c>
      <c r="M314" s="105" t="s">
        <v>132</v>
      </c>
      <c r="N314" s="115">
        <v>955603</v>
      </c>
      <c r="O314" s="115">
        <v>447018</v>
      </c>
      <c r="P314" s="115">
        <f t="shared" si="7"/>
        <v>447017.55</v>
      </c>
      <c r="Q314" s="115"/>
      <c r="R314" s="115"/>
      <c r="S314" s="115"/>
      <c r="T314" s="115"/>
      <c r="U314" s="115">
        <v>447017.55</v>
      </c>
      <c r="V314" s="115"/>
      <c r="W314" s="115"/>
      <c r="X314" s="115"/>
      <c r="Y314" s="115"/>
      <c r="Z314" s="115"/>
      <c r="AA314" s="115"/>
      <c r="AB314" s="115"/>
    </row>
    <row r="315" spans="1:28" ht="24">
      <c r="A315" s="226">
        <v>40037651</v>
      </c>
      <c r="B315" s="107">
        <v>29</v>
      </c>
      <c r="C315" s="103" t="s">
        <v>38</v>
      </c>
      <c r="D315" s="265"/>
      <c r="E315" s="101" t="s">
        <v>132</v>
      </c>
      <c r="F315" s="108" t="s">
        <v>611</v>
      </c>
      <c r="G315" s="117" t="s">
        <v>103</v>
      </c>
      <c r="H315" s="101" t="s">
        <v>147</v>
      </c>
      <c r="I315" s="101">
        <v>2023</v>
      </c>
      <c r="J315" s="101">
        <v>12956</v>
      </c>
      <c r="K315" s="146">
        <v>1994278</v>
      </c>
      <c r="L315" s="101" t="s">
        <v>173</v>
      </c>
      <c r="M315" s="105" t="s">
        <v>132</v>
      </c>
      <c r="N315" s="115">
        <v>1108474.73</v>
      </c>
      <c r="O315" s="115">
        <v>594696</v>
      </c>
      <c r="P315" s="115">
        <f t="shared" si="7"/>
        <v>0</v>
      </c>
      <c r="Q315" s="115"/>
      <c r="R315" s="115"/>
      <c r="S315" s="115"/>
      <c r="T315" s="115"/>
      <c r="U315" s="115"/>
      <c r="V315" s="115"/>
      <c r="W315" s="115"/>
      <c r="X315" s="115"/>
      <c r="Y315" s="115"/>
      <c r="Z315" s="115"/>
      <c r="AA315" s="115"/>
      <c r="AB315" s="115"/>
    </row>
    <row r="316" spans="1:28" ht="36">
      <c r="A316" s="264">
        <v>40043201</v>
      </c>
      <c r="B316" s="103" t="s">
        <v>580</v>
      </c>
      <c r="C316" s="103" t="s">
        <v>27</v>
      </c>
      <c r="D316" s="265"/>
      <c r="E316" s="101" t="s">
        <v>132</v>
      </c>
      <c r="F316" s="108" t="s">
        <v>612</v>
      </c>
      <c r="G316" s="117" t="s">
        <v>103</v>
      </c>
      <c r="H316" s="101" t="s">
        <v>337</v>
      </c>
      <c r="I316" s="101">
        <v>2022</v>
      </c>
      <c r="J316" s="101">
        <v>12705</v>
      </c>
      <c r="K316" s="146">
        <v>375000</v>
      </c>
      <c r="L316" s="101" t="s">
        <v>613</v>
      </c>
      <c r="M316" s="105" t="s">
        <v>490</v>
      </c>
      <c r="N316" s="115"/>
      <c r="O316" s="115"/>
      <c r="P316" s="115">
        <f t="shared" si="7"/>
        <v>0</v>
      </c>
      <c r="Q316" s="115"/>
      <c r="R316" s="115"/>
      <c r="S316" s="115"/>
      <c r="T316" s="115"/>
      <c r="U316" s="115"/>
      <c r="V316" s="115"/>
      <c r="W316" s="115"/>
      <c r="X316" s="115"/>
      <c r="Y316" s="115"/>
      <c r="Z316" s="115"/>
      <c r="AA316" s="115"/>
      <c r="AB316" s="115"/>
    </row>
    <row r="317" spans="1:28" ht="36">
      <c r="A317" s="264">
        <v>40055893</v>
      </c>
      <c r="B317" s="107">
        <v>33</v>
      </c>
      <c r="C317" s="103" t="s">
        <v>27</v>
      </c>
      <c r="D317" s="101"/>
      <c r="E317" s="101" t="s">
        <v>132</v>
      </c>
      <c r="F317" s="108" t="s">
        <v>614</v>
      </c>
      <c r="G317" s="117" t="s">
        <v>82</v>
      </c>
      <c r="H317" s="101" t="s">
        <v>134</v>
      </c>
      <c r="I317" s="101">
        <v>2023</v>
      </c>
      <c r="J317" s="101">
        <v>13316</v>
      </c>
      <c r="K317" s="146">
        <v>110057</v>
      </c>
      <c r="L317" s="270" t="s">
        <v>142</v>
      </c>
      <c r="M317" s="105" t="s">
        <v>132</v>
      </c>
      <c r="N317" s="115"/>
      <c r="O317" s="115"/>
      <c r="P317" s="115">
        <f t="shared" si="7"/>
        <v>0</v>
      </c>
      <c r="Q317" s="115"/>
      <c r="R317" s="115"/>
      <c r="S317" s="115"/>
      <c r="T317" s="115"/>
      <c r="U317" s="115"/>
      <c r="V317" s="115"/>
      <c r="W317" s="115"/>
      <c r="X317" s="115"/>
      <c r="Y317" s="115"/>
      <c r="Z317" s="115"/>
      <c r="AA317" s="115"/>
      <c r="AB317" s="115"/>
    </row>
    <row r="318" spans="1:28" ht="36">
      <c r="A318" s="264">
        <v>40056452</v>
      </c>
      <c r="B318" s="107">
        <v>33</v>
      </c>
      <c r="C318" s="103" t="s">
        <v>27</v>
      </c>
      <c r="D318" s="101"/>
      <c r="E318" s="101" t="s">
        <v>132</v>
      </c>
      <c r="F318" s="108" t="s">
        <v>615</v>
      </c>
      <c r="G318" s="117" t="s">
        <v>97</v>
      </c>
      <c r="H318" s="101" t="s">
        <v>134</v>
      </c>
      <c r="I318" s="101">
        <v>2023</v>
      </c>
      <c r="J318" s="101">
        <v>13316</v>
      </c>
      <c r="K318" s="146">
        <v>110057</v>
      </c>
      <c r="L318" s="101" t="s">
        <v>180</v>
      </c>
      <c r="M318" s="105" t="s">
        <v>132</v>
      </c>
      <c r="N318" s="115"/>
      <c r="O318" s="115"/>
      <c r="P318" s="115">
        <f t="shared" si="7"/>
        <v>0</v>
      </c>
      <c r="Q318" s="115"/>
      <c r="R318" s="115"/>
      <c r="S318" s="115"/>
      <c r="T318" s="115"/>
      <c r="U318" s="115"/>
      <c r="V318" s="115"/>
      <c r="W318" s="115"/>
      <c r="X318" s="115"/>
      <c r="Y318" s="115"/>
      <c r="Z318" s="115"/>
      <c r="AA318" s="115"/>
      <c r="AB318" s="115"/>
    </row>
    <row r="319" spans="1:28" ht="36">
      <c r="A319" s="264">
        <v>40055797</v>
      </c>
      <c r="B319" s="107">
        <v>33</v>
      </c>
      <c r="C319" s="103" t="s">
        <v>27</v>
      </c>
      <c r="D319" s="101"/>
      <c r="E319" s="101" t="s">
        <v>132</v>
      </c>
      <c r="F319" s="108" t="s">
        <v>616</v>
      </c>
      <c r="G319" s="117" t="s">
        <v>84</v>
      </c>
      <c r="H319" s="101" t="s">
        <v>150</v>
      </c>
      <c r="I319" s="101">
        <v>2023</v>
      </c>
      <c r="J319" s="101">
        <v>13316</v>
      </c>
      <c r="K319" s="146">
        <v>110057</v>
      </c>
      <c r="L319" s="101" t="s">
        <v>157</v>
      </c>
      <c r="M319" s="105" t="s">
        <v>132</v>
      </c>
      <c r="N319" s="115"/>
      <c r="O319" s="115"/>
      <c r="P319" s="115">
        <f t="shared" si="7"/>
        <v>0</v>
      </c>
      <c r="Q319" s="115"/>
      <c r="R319" s="115"/>
      <c r="S319" s="115"/>
      <c r="T319" s="115"/>
      <c r="U319" s="115"/>
      <c r="V319" s="115"/>
      <c r="W319" s="115"/>
      <c r="X319" s="115"/>
      <c r="Y319" s="115"/>
      <c r="Z319" s="115"/>
      <c r="AA319" s="115"/>
      <c r="AB319" s="115"/>
    </row>
    <row r="320" spans="1:28" ht="36">
      <c r="A320" s="264">
        <v>40056257</v>
      </c>
      <c r="B320" s="107">
        <v>33</v>
      </c>
      <c r="C320" s="103" t="s">
        <v>27</v>
      </c>
      <c r="D320" s="101"/>
      <c r="E320" s="101" t="s">
        <v>132</v>
      </c>
      <c r="F320" s="108" t="s">
        <v>617</v>
      </c>
      <c r="G320" s="117" t="s">
        <v>99</v>
      </c>
      <c r="H320" s="101" t="s">
        <v>134</v>
      </c>
      <c r="I320" s="101">
        <v>2023</v>
      </c>
      <c r="J320" s="101">
        <v>13316</v>
      </c>
      <c r="K320" s="146">
        <v>110066</v>
      </c>
      <c r="L320" s="101" t="s">
        <v>226</v>
      </c>
      <c r="M320" s="105" t="s">
        <v>132</v>
      </c>
      <c r="N320" s="115"/>
      <c r="O320" s="115"/>
      <c r="P320" s="115">
        <f t="shared" si="7"/>
        <v>0</v>
      </c>
      <c r="Q320" s="115"/>
      <c r="R320" s="115"/>
      <c r="S320" s="115"/>
      <c r="T320" s="115"/>
      <c r="U320" s="115"/>
      <c r="V320" s="115"/>
      <c r="W320" s="115"/>
      <c r="X320" s="115"/>
      <c r="Y320" s="115"/>
      <c r="Z320" s="115"/>
      <c r="AA320" s="115"/>
      <c r="AB320" s="115"/>
    </row>
    <row r="321" spans="1:28" ht="36">
      <c r="A321" s="264">
        <v>40055768</v>
      </c>
      <c r="B321" s="107">
        <v>33</v>
      </c>
      <c r="C321" s="103" t="s">
        <v>27</v>
      </c>
      <c r="D321" s="101"/>
      <c r="E321" s="101" t="s">
        <v>132</v>
      </c>
      <c r="F321" s="108" t="s">
        <v>618</v>
      </c>
      <c r="G321" s="101" t="s">
        <v>83</v>
      </c>
      <c r="H321" s="101" t="s">
        <v>134</v>
      </c>
      <c r="I321" s="101">
        <v>2023</v>
      </c>
      <c r="J321" s="101">
        <v>13316</v>
      </c>
      <c r="K321" s="146">
        <v>110057</v>
      </c>
      <c r="L321" s="101" t="s">
        <v>148</v>
      </c>
      <c r="M321" s="105" t="s">
        <v>132</v>
      </c>
      <c r="N321" s="115"/>
      <c r="O321" s="115"/>
      <c r="P321" s="115">
        <f t="shared" si="7"/>
        <v>0</v>
      </c>
      <c r="Q321" s="115"/>
      <c r="R321" s="115"/>
      <c r="S321" s="115"/>
      <c r="T321" s="115"/>
      <c r="U321" s="115"/>
      <c r="V321" s="115"/>
      <c r="W321" s="115"/>
      <c r="X321" s="115"/>
      <c r="Y321" s="115"/>
      <c r="Z321" s="115"/>
      <c r="AA321" s="115"/>
      <c r="AB321" s="115"/>
    </row>
    <row r="322" spans="1:28" ht="36">
      <c r="A322" s="264">
        <v>40055983</v>
      </c>
      <c r="B322" s="107">
        <v>33</v>
      </c>
      <c r="C322" s="103" t="s">
        <v>27</v>
      </c>
      <c r="D322" s="101"/>
      <c r="E322" s="101" t="s">
        <v>132</v>
      </c>
      <c r="F322" s="108" t="s">
        <v>619</v>
      </c>
      <c r="G322" s="101" t="s">
        <v>92</v>
      </c>
      <c r="H322" s="101" t="s">
        <v>134</v>
      </c>
      <c r="I322" s="101">
        <v>2023</v>
      </c>
      <c r="J322" s="101">
        <v>13316</v>
      </c>
      <c r="K322" s="146">
        <v>109979</v>
      </c>
      <c r="L322" s="101" t="s">
        <v>159</v>
      </c>
      <c r="M322" s="105" t="s">
        <v>132</v>
      </c>
      <c r="N322" s="115"/>
      <c r="O322" s="115"/>
      <c r="P322" s="115">
        <f t="shared" si="7"/>
        <v>0</v>
      </c>
      <c r="Q322" s="115"/>
      <c r="R322" s="115"/>
      <c r="S322" s="115"/>
      <c r="T322" s="115"/>
      <c r="U322" s="115"/>
      <c r="V322" s="115"/>
      <c r="W322" s="115"/>
      <c r="X322" s="115"/>
      <c r="Y322" s="115"/>
      <c r="Z322" s="115"/>
      <c r="AA322" s="115"/>
      <c r="AB322" s="115"/>
    </row>
    <row r="323" spans="1:28" ht="36">
      <c r="A323" s="264">
        <v>40056079</v>
      </c>
      <c r="B323" s="107">
        <v>33</v>
      </c>
      <c r="C323" s="103" t="s">
        <v>27</v>
      </c>
      <c r="D323" s="101"/>
      <c r="E323" s="101" t="s">
        <v>132</v>
      </c>
      <c r="F323" s="108" t="s">
        <v>620</v>
      </c>
      <c r="G323" s="117" t="s">
        <v>91</v>
      </c>
      <c r="H323" s="101" t="s">
        <v>134</v>
      </c>
      <c r="I323" s="101">
        <v>2023</v>
      </c>
      <c r="J323" s="101">
        <v>13316</v>
      </c>
      <c r="K323" s="146">
        <v>110037</v>
      </c>
      <c r="L323" s="101" t="s">
        <v>138</v>
      </c>
      <c r="M323" s="105" t="s">
        <v>132</v>
      </c>
      <c r="N323" s="115"/>
      <c r="O323" s="115"/>
      <c r="P323" s="115">
        <f t="shared" si="7"/>
        <v>0</v>
      </c>
      <c r="Q323" s="115"/>
      <c r="R323" s="115"/>
      <c r="S323" s="115"/>
      <c r="T323" s="115"/>
      <c r="U323" s="115"/>
      <c r="V323" s="115"/>
      <c r="W323" s="115"/>
      <c r="X323" s="115"/>
      <c r="Y323" s="115"/>
      <c r="Z323" s="115"/>
      <c r="AA323" s="115"/>
      <c r="AB323" s="115"/>
    </row>
    <row r="324" spans="1:28" ht="36">
      <c r="A324" s="64">
        <v>30074451</v>
      </c>
      <c r="B324" s="107">
        <v>31</v>
      </c>
      <c r="C324" s="103" t="s">
        <v>30</v>
      </c>
      <c r="D324" s="101"/>
      <c r="E324" s="101" t="s">
        <v>132</v>
      </c>
      <c r="F324" s="108" t="s">
        <v>621</v>
      </c>
      <c r="G324" s="117" t="s">
        <v>91</v>
      </c>
      <c r="H324" s="101" t="s">
        <v>204</v>
      </c>
      <c r="I324" s="101">
        <v>2024</v>
      </c>
      <c r="J324" s="101">
        <v>13843</v>
      </c>
      <c r="K324" s="146">
        <v>610008</v>
      </c>
      <c r="L324" s="101" t="s">
        <v>205</v>
      </c>
      <c r="M324" s="105" t="s">
        <v>571</v>
      </c>
      <c r="N324" s="115">
        <v>680937</v>
      </c>
      <c r="O324" s="115">
        <v>711793</v>
      </c>
      <c r="P324" s="115">
        <f t="shared" si="7"/>
        <v>0</v>
      </c>
      <c r="Q324" s="115"/>
      <c r="R324" s="115"/>
      <c r="S324" s="115"/>
      <c r="T324" s="115"/>
      <c r="U324" s="115"/>
      <c r="V324" s="115"/>
      <c r="W324" s="115"/>
      <c r="X324" s="115"/>
      <c r="Y324" s="115"/>
      <c r="Z324" s="115"/>
      <c r="AA324" s="115"/>
      <c r="AB324" s="115"/>
    </row>
    <row r="325" spans="1:28" ht="36">
      <c r="A325" s="107">
        <v>40057561</v>
      </c>
      <c r="B325" s="101">
        <v>33</v>
      </c>
      <c r="C325" s="103" t="s">
        <v>27</v>
      </c>
      <c r="D325" s="103"/>
      <c r="E325" s="101" t="s">
        <v>132</v>
      </c>
      <c r="F325" s="108" t="s">
        <v>622</v>
      </c>
      <c r="G325" s="258" t="s">
        <v>103</v>
      </c>
      <c r="H325" s="101" t="s">
        <v>161</v>
      </c>
      <c r="I325" s="119">
        <v>2024</v>
      </c>
      <c r="J325" s="119">
        <v>13925</v>
      </c>
      <c r="K325" s="230">
        <v>401752</v>
      </c>
      <c r="L325" s="236" t="s">
        <v>623</v>
      </c>
      <c r="M325" s="105" t="s">
        <v>132</v>
      </c>
      <c r="N325" s="151">
        <v>401752</v>
      </c>
      <c r="O325" s="151">
        <v>401752</v>
      </c>
      <c r="P325" s="115">
        <f t="shared" si="7"/>
        <v>31026</v>
      </c>
      <c r="Q325" s="115"/>
      <c r="R325" s="115"/>
      <c r="S325" s="115">
        <v>17178</v>
      </c>
      <c r="T325" s="115">
        <v>1851</v>
      </c>
      <c r="U325" s="115">
        <v>7877</v>
      </c>
      <c r="V325" s="115">
        <v>4120</v>
      </c>
      <c r="W325" s="115"/>
      <c r="X325" s="115"/>
      <c r="Y325" s="115"/>
      <c r="Z325" s="115"/>
      <c r="AA325" s="115"/>
      <c r="AB325" s="115"/>
    </row>
    <row r="326" spans="1:28" ht="24">
      <c r="A326" s="64">
        <v>40058520</v>
      </c>
      <c r="B326" s="107">
        <v>29</v>
      </c>
      <c r="C326" s="103" t="s">
        <v>27</v>
      </c>
      <c r="D326" s="101"/>
      <c r="E326" s="101" t="s">
        <v>132</v>
      </c>
      <c r="F326" s="108" t="s">
        <v>624</v>
      </c>
      <c r="G326" s="117" t="s">
        <v>100</v>
      </c>
      <c r="H326" s="101" t="s">
        <v>150</v>
      </c>
      <c r="I326" s="119">
        <v>2024</v>
      </c>
      <c r="J326" s="101">
        <v>13961</v>
      </c>
      <c r="K326" s="146">
        <v>87600</v>
      </c>
      <c r="L326" s="236" t="s">
        <v>482</v>
      </c>
      <c r="M326" s="105" t="s">
        <v>164</v>
      </c>
      <c r="N326" s="115">
        <v>87600</v>
      </c>
      <c r="O326" s="115">
        <v>1000</v>
      </c>
      <c r="P326" s="115">
        <f t="shared" si="7"/>
        <v>0</v>
      </c>
      <c r="Q326" s="115"/>
      <c r="R326" s="115"/>
      <c r="S326" s="115"/>
      <c r="T326" s="115"/>
      <c r="U326" s="115"/>
      <c r="V326" s="115"/>
      <c r="W326" s="115"/>
      <c r="X326" s="115"/>
      <c r="Y326" s="115"/>
      <c r="Z326" s="115"/>
      <c r="AA326" s="115"/>
      <c r="AB326" s="115"/>
    </row>
    <row r="327" spans="1:28">
      <c r="A327" s="64" t="s">
        <v>208</v>
      </c>
      <c r="B327" s="107">
        <v>29</v>
      </c>
      <c r="C327" s="103" t="s">
        <v>27</v>
      </c>
      <c r="D327" s="101"/>
      <c r="E327" s="101" t="s">
        <v>208</v>
      </c>
      <c r="F327" s="108" t="s">
        <v>625</v>
      </c>
      <c r="G327" s="117" t="s">
        <v>211</v>
      </c>
      <c r="H327" s="101" t="s">
        <v>208</v>
      </c>
      <c r="I327" s="101" t="s">
        <v>211</v>
      </c>
      <c r="J327" s="101" t="s">
        <v>211</v>
      </c>
      <c r="K327" s="117" t="s">
        <v>211</v>
      </c>
      <c r="L327" s="101" t="s">
        <v>208</v>
      </c>
      <c r="M327" s="105" t="s">
        <v>211</v>
      </c>
      <c r="N327" s="115">
        <v>1136264.5760000004</v>
      </c>
      <c r="O327" s="115"/>
      <c r="P327" s="115">
        <f t="shared" si="7"/>
        <v>0</v>
      </c>
      <c r="Q327" s="115"/>
      <c r="R327" s="115"/>
      <c r="S327" s="115"/>
      <c r="T327" s="115"/>
      <c r="U327" s="115"/>
      <c r="V327" s="115"/>
      <c r="W327" s="115"/>
      <c r="X327" s="115"/>
      <c r="Y327" s="115"/>
      <c r="Z327" s="115"/>
      <c r="AA327" s="115"/>
      <c r="AB327" s="115"/>
    </row>
    <row r="328" spans="1:28" ht="24">
      <c r="A328" s="64">
        <v>40058239</v>
      </c>
      <c r="B328" s="107">
        <v>29</v>
      </c>
      <c r="C328" s="103" t="s">
        <v>27</v>
      </c>
      <c r="D328" s="101"/>
      <c r="E328" s="101" t="s">
        <v>132</v>
      </c>
      <c r="F328" s="108" t="s">
        <v>626</v>
      </c>
      <c r="G328" s="117" t="s">
        <v>83</v>
      </c>
      <c r="H328" s="101" t="s">
        <v>213</v>
      </c>
      <c r="I328" s="119">
        <v>2024</v>
      </c>
      <c r="J328" s="101">
        <v>13961</v>
      </c>
      <c r="K328" s="146">
        <v>964157</v>
      </c>
      <c r="L328" s="236" t="s">
        <v>482</v>
      </c>
      <c r="M328" s="105" t="s">
        <v>483</v>
      </c>
      <c r="N328" s="151">
        <v>1000</v>
      </c>
      <c r="O328" s="151"/>
      <c r="P328" s="115">
        <f t="shared" si="7"/>
        <v>0</v>
      </c>
      <c r="Q328" s="115"/>
      <c r="R328" s="115"/>
      <c r="S328" s="115"/>
      <c r="T328" s="115"/>
      <c r="U328" s="115"/>
      <c r="V328" s="115"/>
      <c r="W328" s="115"/>
      <c r="X328" s="115"/>
      <c r="Y328" s="115"/>
      <c r="Z328" s="115"/>
      <c r="AA328" s="115"/>
      <c r="AB328" s="115"/>
    </row>
    <row r="329" spans="1:28" ht="24">
      <c r="A329" s="64">
        <v>40012009</v>
      </c>
      <c r="B329" s="107">
        <v>31</v>
      </c>
      <c r="C329" s="103" t="s">
        <v>30</v>
      </c>
      <c r="D329" s="101"/>
      <c r="E329" s="101" t="s">
        <v>132</v>
      </c>
      <c r="F329" s="108" t="s">
        <v>627</v>
      </c>
      <c r="G329" s="258" t="s">
        <v>100</v>
      </c>
      <c r="H329" s="101" t="s">
        <v>154</v>
      </c>
      <c r="I329" s="119">
        <v>2024</v>
      </c>
      <c r="J329" s="101">
        <v>13961</v>
      </c>
      <c r="K329" s="146">
        <v>1528412</v>
      </c>
      <c r="L329" s="236" t="s">
        <v>199</v>
      </c>
      <c r="M329" s="105" t="s">
        <v>152</v>
      </c>
      <c r="N329" s="151">
        <v>242000</v>
      </c>
      <c r="O329" s="151">
        <v>240000</v>
      </c>
      <c r="P329" s="115">
        <f t="shared" si="7"/>
        <v>0</v>
      </c>
      <c r="Q329" s="115"/>
      <c r="R329" s="115"/>
      <c r="S329" s="115"/>
      <c r="T329" s="115"/>
      <c r="U329" s="115"/>
      <c r="V329" s="115"/>
      <c r="W329" s="115"/>
      <c r="X329" s="115"/>
      <c r="Y329" s="115"/>
      <c r="Z329" s="115"/>
      <c r="AA329" s="115"/>
      <c r="AB329" s="115"/>
    </row>
    <row r="330" spans="1:28" ht="31.5" customHeight="1">
      <c r="A330" s="64">
        <v>40058768</v>
      </c>
      <c r="B330" s="107">
        <v>33</v>
      </c>
      <c r="C330" s="103" t="s">
        <v>27</v>
      </c>
      <c r="D330" s="101"/>
      <c r="E330" s="101" t="s">
        <v>132</v>
      </c>
      <c r="F330" s="108" t="s">
        <v>628</v>
      </c>
      <c r="G330" s="117" t="s">
        <v>103</v>
      </c>
      <c r="H330" s="101" t="s">
        <v>134</v>
      </c>
      <c r="I330" s="101">
        <v>2024</v>
      </c>
      <c r="J330" s="101">
        <v>13961</v>
      </c>
      <c r="K330" s="146">
        <v>799956</v>
      </c>
      <c r="L330" s="101" t="s">
        <v>342</v>
      </c>
      <c r="M330" s="105" t="s">
        <v>340</v>
      </c>
      <c r="N330" s="151">
        <v>799956</v>
      </c>
      <c r="O330" s="151">
        <v>799956</v>
      </c>
      <c r="P330" s="115">
        <f t="shared" si="7"/>
        <v>0</v>
      </c>
      <c r="Q330" s="115"/>
      <c r="R330" s="115"/>
      <c r="S330" s="115"/>
      <c r="T330" s="115"/>
      <c r="U330" s="115"/>
      <c r="V330" s="115"/>
      <c r="W330" s="115"/>
      <c r="X330" s="115"/>
      <c r="Y330" s="115"/>
      <c r="Z330" s="115"/>
      <c r="AA330" s="115"/>
      <c r="AB330" s="115"/>
    </row>
    <row r="331" spans="1:28">
      <c r="A331" s="107" t="s">
        <v>208</v>
      </c>
      <c r="B331" s="107">
        <v>24</v>
      </c>
      <c r="C331" s="103" t="s">
        <v>27</v>
      </c>
      <c r="D331" s="101">
        <v>301</v>
      </c>
      <c r="E331" s="101" t="s">
        <v>208</v>
      </c>
      <c r="F331" s="108" t="s">
        <v>629</v>
      </c>
      <c r="G331" s="117" t="s">
        <v>211</v>
      </c>
      <c r="H331" s="101" t="s">
        <v>208</v>
      </c>
      <c r="I331" s="101" t="s">
        <v>211</v>
      </c>
      <c r="J331" s="101" t="s">
        <v>211</v>
      </c>
      <c r="K331" s="117" t="s">
        <v>211</v>
      </c>
      <c r="L331" s="101" t="s">
        <v>216</v>
      </c>
      <c r="M331" s="105" t="s">
        <v>211</v>
      </c>
      <c r="N331" s="115">
        <v>250000</v>
      </c>
      <c r="O331" s="115"/>
      <c r="P331" s="115">
        <f t="shared" si="7"/>
        <v>0</v>
      </c>
      <c r="Q331" s="115"/>
      <c r="R331" s="115"/>
      <c r="S331" s="115"/>
      <c r="T331" s="115"/>
      <c r="U331" s="115"/>
      <c r="V331" s="115"/>
      <c r="W331" s="115"/>
      <c r="X331" s="115"/>
      <c r="Y331" s="115"/>
      <c r="Z331" s="115"/>
      <c r="AA331" s="115"/>
      <c r="AB331" s="115"/>
    </row>
    <row r="332" spans="1:28">
      <c r="A332" s="107" t="s">
        <v>208</v>
      </c>
      <c r="B332" s="107">
        <v>31</v>
      </c>
      <c r="C332" s="103" t="s">
        <v>25</v>
      </c>
      <c r="D332" s="101"/>
      <c r="E332" s="101" t="s">
        <v>208</v>
      </c>
      <c r="F332" s="108" t="s">
        <v>630</v>
      </c>
      <c r="G332" s="117" t="s">
        <v>211</v>
      </c>
      <c r="H332" s="101" t="s">
        <v>208</v>
      </c>
      <c r="I332" s="101" t="s">
        <v>211</v>
      </c>
      <c r="J332" s="101" t="s">
        <v>211</v>
      </c>
      <c r="K332" s="117" t="s">
        <v>211</v>
      </c>
      <c r="L332" s="101" t="s">
        <v>216</v>
      </c>
      <c r="M332" s="105" t="s">
        <v>211</v>
      </c>
      <c r="N332" s="115">
        <v>604983</v>
      </c>
      <c r="O332" s="115"/>
      <c r="P332" s="115">
        <f t="shared" si="7"/>
        <v>0</v>
      </c>
      <c r="Q332" s="115"/>
      <c r="R332" s="115"/>
      <c r="S332" s="115"/>
      <c r="T332" s="115"/>
      <c r="U332" s="115"/>
      <c r="V332" s="115"/>
      <c r="W332" s="115"/>
      <c r="X332" s="115"/>
      <c r="Y332" s="115"/>
      <c r="Z332" s="115"/>
      <c r="AA332" s="115"/>
      <c r="AB332" s="115"/>
    </row>
    <row r="333" spans="1:28" ht="24">
      <c r="A333" s="226">
        <v>3303125</v>
      </c>
      <c r="B333" s="107">
        <v>33</v>
      </c>
      <c r="C333" s="103" t="s">
        <v>27</v>
      </c>
      <c r="D333" s="101"/>
      <c r="E333" s="101" t="s">
        <v>208</v>
      </c>
      <c r="F333" s="102" t="s">
        <v>631</v>
      </c>
      <c r="G333" s="101" t="s">
        <v>211</v>
      </c>
      <c r="H333" s="101" t="s">
        <v>208</v>
      </c>
      <c r="I333" s="101" t="s">
        <v>211</v>
      </c>
      <c r="J333" s="101" t="s">
        <v>211</v>
      </c>
      <c r="K333" s="117" t="s">
        <v>211</v>
      </c>
      <c r="L333" s="236"/>
      <c r="M333" s="105" t="s">
        <v>211</v>
      </c>
      <c r="N333" s="115">
        <v>1293425.2479999997</v>
      </c>
      <c r="O333" s="115"/>
      <c r="P333" s="115"/>
      <c r="Q333" s="115"/>
      <c r="R333" s="115"/>
      <c r="S333" s="115"/>
      <c r="T333" s="115"/>
      <c r="U333" s="115"/>
      <c r="V333" s="115"/>
      <c r="W333" s="115"/>
      <c r="X333" s="115"/>
      <c r="Y333" s="115"/>
      <c r="Z333" s="115"/>
      <c r="AA333" s="115"/>
      <c r="AB333" s="115"/>
    </row>
    <row r="334" spans="1:28" ht="24">
      <c r="A334" s="226">
        <v>3303125</v>
      </c>
      <c r="B334" s="107">
        <v>33</v>
      </c>
      <c r="C334" s="103" t="s">
        <v>27</v>
      </c>
      <c r="D334" s="101" t="s">
        <v>632</v>
      </c>
      <c r="E334" s="101" t="s">
        <v>132</v>
      </c>
      <c r="F334" s="102" t="s">
        <v>633</v>
      </c>
      <c r="G334" s="101" t="s">
        <v>211</v>
      </c>
      <c r="H334" s="101" t="s">
        <v>208</v>
      </c>
      <c r="I334" s="101">
        <v>2024</v>
      </c>
      <c r="J334" s="101" t="s">
        <v>634</v>
      </c>
      <c r="K334" s="117" t="s">
        <v>211</v>
      </c>
      <c r="L334" s="236" t="s">
        <v>635</v>
      </c>
      <c r="M334" s="105" t="s">
        <v>132</v>
      </c>
      <c r="N334" s="115">
        <v>8706574.7520000003</v>
      </c>
      <c r="O334" s="132">
        <v>6401300</v>
      </c>
      <c r="P334" s="115">
        <f t="shared" si="7"/>
        <v>1130772.7189999998</v>
      </c>
      <c r="Q334" s="115"/>
      <c r="R334" s="277">
        <f>'FRIL 2025'!$J$1</f>
        <v>68661.482999999993</v>
      </c>
      <c r="S334" s="115">
        <f>'FRIL 2025'!K1</f>
        <v>135543.46399999998</v>
      </c>
      <c r="T334" s="115">
        <f>'FRIL 2025'!L1</f>
        <v>256804.75899999996</v>
      </c>
      <c r="U334" s="115">
        <f>'FRIL 2025'!M1</f>
        <v>307926.52899999998</v>
      </c>
      <c r="V334" s="115">
        <f>'FRIL 2025'!N1</f>
        <v>361836.484</v>
      </c>
      <c r="W334" s="115"/>
      <c r="X334" s="115"/>
      <c r="Y334" s="115"/>
      <c r="Z334" s="285"/>
      <c r="AA334" s="115"/>
      <c r="AB334" s="277"/>
    </row>
    <row r="335" spans="1:28" ht="24">
      <c r="A335" s="64">
        <v>40014358</v>
      </c>
      <c r="B335" s="107">
        <v>33</v>
      </c>
      <c r="C335" s="103" t="s">
        <v>27</v>
      </c>
      <c r="D335" s="101" t="s">
        <v>636</v>
      </c>
      <c r="E335" s="101" t="s">
        <v>132</v>
      </c>
      <c r="F335" s="108" t="s">
        <v>637</v>
      </c>
      <c r="G335" s="117" t="s">
        <v>103</v>
      </c>
      <c r="H335" s="101" t="s">
        <v>183</v>
      </c>
      <c r="I335" s="101">
        <v>2019</v>
      </c>
      <c r="J335" s="101">
        <v>10064</v>
      </c>
      <c r="K335" s="146">
        <v>69526</v>
      </c>
      <c r="L335" s="270" t="s">
        <v>638</v>
      </c>
      <c r="M335" s="105" t="s">
        <v>132</v>
      </c>
      <c r="N335" s="246">
        <v>4921</v>
      </c>
      <c r="O335" s="246">
        <v>4921</v>
      </c>
      <c r="P335" s="115">
        <f t="shared" si="7"/>
        <v>0</v>
      </c>
      <c r="Q335" s="115"/>
      <c r="R335" s="115"/>
      <c r="S335" s="115"/>
      <c r="T335" s="115"/>
      <c r="U335" s="115"/>
      <c r="V335" s="115"/>
      <c r="W335" s="115"/>
      <c r="X335" s="115"/>
      <c r="Y335" s="115"/>
      <c r="Z335" s="115"/>
      <c r="AA335" s="115"/>
      <c r="AB335" s="115"/>
    </row>
    <row r="336" spans="1:28" ht="36">
      <c r="A336" s="64">
        <v>40057029</v>
      </c>
      <c r="B336" s="107">
        <v>31</v>
      </c>
      <c r="C336" s="103" t="s">
        <v>30</v>
      </c>
      <c r="D336" s="101"/>
      <c r="E336" s="101" t="s">
        <v>639</v>
      </c>
      <c r="F336" s="108" t="s">
        <v>640</v>
      </c>
      <c r="G336" s="101" t="s">
        <v>88</v>
      </c>
      <c r="H336" s="101" t="s">
        <v>276</v>
      </c>
      <c r="I336" s="101">
        <v>2024</v>
      </c>
      <c r="J336" s="101">
        <v>14008</v>
      </c>
      <c r="K336" s="146">
        <v>72219</v>
      </c>
      <c r="L336" s="236" t="s">
        <v>482</v>
      </c>
      <c r="M336" s="105" t="s">
        <v>268</v>
      </c>
      <c r="N336" s="115">
        <v>8500</v>
      </c>
      <c r="O336" s="115">
        <v>14895</v>
      </c>
      <c r="P336" s="115">
        <f t="shared" si="7"/>
        <v>0</v>
      </c>
      <c r="Q336" s="115"/>
      <c r="R336" s="115"/>
      <c r="S336" s="115"/>
      <c r="T336" s="115"/>
      <c r="U336" s="115"/>
      <c r="V336" s="115"/>
      <c r="W336" s="115"/>
      <c r="X336" s="115"/>
      <c r="Y336" s="115"/>
      <c r="Z336" s="115"/>
      <c r="AA336" s="115"/>
      <c r="AB336" s="115"/>
    </row>
    <row r="337" spans="1:28" ht="36">
      <c r="A337" s="64">
        <v>40066218</v>
      </c>
      <c r="B337" s="107">
        <v>33</v>
      </c>
      <c r="C337" s="103" t="s">
        <v>27</v>
      </c>
      <c r="D337" s="101"/>
      <c r="E337" s="101" t="s">
        <v>132</v>
      </c>
      <c r="F337" s="108" t="s">
        <v>641</v>
      </c>
      <c r="G337" s="117" t="s">
        <v>84</v>
      </c>
      <c r="H337" s="101" t="s">
        <v>141</v>
      </c>
      <c r="I337" s="101">
        <v>2024</v>
      </c>
      <c r="J337" s="101">
        <v>14039</v>
      </c>
      <c r="K337" s="146">
        <v>2697583</v>
      </c>
      <c r="L337" s="101" t="s">
        <v>489</v>
      </c>
      <c r="M337" s="105" t="s">
        <v>490</v>
      </c>
      <c r="N337" s="115"/>
      <c r="O337" s="115"/>
      <c r="P337" s="115">
        <f t="shared" si="7"/>
        <v>0</v>
      </c>
      <c r="Q337" s="115"/>
      <c r="R337" s="115"/>
      <c r="S337" s="115"/>
      <c r="T337" s="115"/>
      <c r="U337" s="115"/>
      <c r="V337" s="115"/>
      <c r="W337" s="115"/>
      <c r="X337" s="115"/>
      <c r="Y337" s="115"/>
      <c r="Z337" s="115"/>
      <c r="AA337" s="115"/>
      <c r="AB337" s="115"/>
    </row>
    <row r="338" spans="1:28" ht="36">
      <c r="A338" s="64">
        <v>40057885</v>
      </c>
      <c r="B338" s="107">
        <v>29</v>
      </c>
      <c r="C338" s="103" t="s">
        <v>27</v>
      </c>
      <c r="D338" s="101"/>
      <c r="E338" s="101" t="s">
        <v>132</v>
      </c>
      <c r="F338" s="108" t="s">
        <v>642</v>
      </c>
      <c r="G338" s="101" t="s">
        <v>93</v>
      </c>
      <c r="H338" s="101" t="s">
        <v>161</v>
      </c>
      <c r="I338" s="101">
        <v>2024</v>
      </c>
      <c r="J338" s="101">
        <v>14042</v>
      </c>
      <c r="K338" s="146">
        <v>909600</v>
      </c>
      <c r="L338" s="101" t="s">
        <v>482</v>
      </c>
      <c r="M338" s="105" t="s">
        <v>171</v>
      </c>
      <c r="N338" s="115">
        <v>1000</v>
      </c>
      <c r="O338" s="115"/>
      <c r="P338" s="115">
        <f t="shared" si="7"/>
        <v>0</v>
      </c>
      <c r="Q338" s="115"/>
      <c r="R338" s="115"/>
      <c r="S338" s="115"/>
      <c r="T338" s="115"/>
      <c r="U338" s="115"/>
      <c r="V338" s="115"/>
      <c r="W338" s="115"/>
      <c r="X338" s="115"/>
      <c r="Y338" s="115"/>
      <c r="Z338" s="115"/>
      <c r="AA338" s="115"/>
      <c r="AB338" s="115"/>
    </row>
    <row r="339" spans="1:28" ht="24">
      <c r="A339" s="64">
        <v>40058253</v>
      </c>
      <c r="B339" s="107">
        <v>29</v>
      </c>
      <c r="C339" s="103" t="s">
        <v>27</v>
      </c>
      <c r="D339" s="101"/>
      <c r="E339" s="101" t="s">
        <v>132</v>
      </c>
      <c r="F339" s="108" t="s">
        <v>643</v>
      </c>
      <c r="G339" s="101" t="s">
        <v>94</v>
      </c>
      <c r="H339" s="101" t="s">
        <v>134</v>
      </c>
      <c r="I339" s="101">
        <v>2024</v>
      </c>
      <c r="J339" s="101">
        <v>14098</v>
      </c>
      <c r="K339" s="146">
        <v>213356</v>
      </c>
      <c r="L339" s="236" t="s">
        <v>482</v>
      </c>
      <c r="M339" s="105" t="s">
        <v>164</v>
      </c>
      <c r="N339" s="115">
        <v>213356</v>
      </c>
      <c r="O339" s="115">
        <v>196023</v>
      </c>
      <c r="P339" s="115">
        <f t="shared" si="7"/>
        <v>0</v>
      </c>
      <c r="Q339" s="115"/>
      <c r="R339" s="115"/>
      <c r="S339" s="115"/>
      <c r="T339" s="115"/>
      <c r="U339" s="115"/>
      <c r="V339" s="115"/>
      <c r="W339" s="115"/>
      <c r="X339" s="115"/>
      <c r="Y339" s="115"/>
      <c r="Z339" s="115"/>
      <c r="AA339" s="115"/>
      <c r="AB339" s="115"/>
    </row>
    <row r="340" spans="1:28" ht="24">
      <c r="A340" s="238">
        <v>40047389</v>
      </c>
      <c r="B340" s="107" t="s">
        <v>580</v>
      </c>
      <c r="C340" s="103" t="s">
        <v>27</v>
      </c>
      <c r="E340" s="101" t="s">
        <v>132</v>
      </c>
      <c r="F340" s="223" t="s">
        <v>644</v>
      </c>
      <c r="G340" s="117" t="s">
        <v>103</v>
      </c>
      <c r="H340" s="101" t="s">
        <v>134</v>
      </c>
      <c r="I340" s="101">
        <v>2024</v>
      </c>
      <c r="J340" s="101">
        <v>14105</v>
      </c>
      <c r="K340" s="146">
        <v>416685</v>
      </c>
      <c r="L340" s="101" t="s">
        <v>645</v>
      </c>
      <c r="M340" s="105" t="s">
        <v>132</v>
      </c>
      <c r="N340" s="115">
        <v>416685</v>
      </c>
      <c r="O340" s="115">
        <v>416685</v>
      </c>
      <c r="P340" s="115">
        <f t="shared" si="7"/>
        <v>58173.059000000001</v>
      </c>
      <c r="Q340" s="115"/>
      <c r="R340" s="115"/>
      <c r="S340" s="115"/>
      <c r="T340" s="115"/>
      <c r="U340" s="115">
        <v>58173.059000000001</v>
      </c>
      <c r="V340" s="115"/>
      <c r="W340" s="115"/>
      <c r="X340" s="115"/>
      <c r="Y340" s="115"/>
      <c r="Z340" s="115"/>
      <c r="AA340" s="115"/>
      <c r="AB340" s="277"/>
    </row>
    <row r="341" spans="1:28" ht="36">
      <c r="A341" s="238">
        <v>40045756</v>
      </c>
      <c r="B341" s="107" t="s">
        <v>580</v>
      </c>
      <c r="C341" s="103" t="s">
        <v>27</v>
      </c>
      <c r="D341" s="103" t="s">
        <v>646</v>
      </c>
      <c r="E341" s="101" t="s">
        <v>132</v>
      </c>
      <c r="F341" s="223" t="s">
        <v>647</v>
      </c>
      <c r="G341" s="117" t="s">
        <v>84</v>
      </c>
      <c r="H341" s="101" t="s">
        <v>185</v>
      </c>
      <c r="I341" s="101">
        <v>2024</v>
      </c>
      <c r="J341" s="101">
        <v>14130</v>
      </c>
      <c r="K341" s="146">
        <v>4970157</v>
      </c>
      <c r="L341" s="101" t="s">
        <v>157</v>
      </c>
      <c r="M341" s="105" t="s">
        <v>268</v>
      </c>
      <c r="N341" s="115">
        <v>100000</v>
      </c>
      <c r="O341" s="115">
        <v>46005</v>
      </c>
      <c r="P341" s="115">
        <f t="shared" si="7"/>
        <v>0</v>
      </c>
      <c r="Q341" s="115"/>
      <c r="R341" s="115"/>
      <c r="S341" s="115"/>
      <c r="T341" s="115"/>
      <c r="U341" s="115"/>
      <c r="V341" s="115"/>
      <c r="W341" s="115"/>
      <c r="X341" s="115"/>
      <c r="Y341" s="115"/>
      <c r="Z341" s="115"/>
      <c r="AA341" s="115"/>
      <c r="AB341" s="115"/>
    </row>
    <row r="342" spans="1:28" ht="36">
      <c r="A342" s="238">
        <v>40058167</v>
      </c>
      <c r="B342" s="107">
        <v>29</v>
      </c>
      <c r="C342" s="103" t="s">
        <v>27</v>
      </c>
      <c r="E342" s="101" t="s">
        <v>132</v>
      </c>
      <c r="F342" s="223" t="s">
        <v>648</v>
      </c>
      <c r="G342" s="117" t="s">
        <v>103</v>
      </c>
      <c r="H342" s="101" t="s">
        <v>150</v>
      </c>
      <c r="I342" s="101">
        <v>2024</v>
      </c>
      <c r="J342" s="101">
        <v>14137</v>
      </c>
      <c r="K342" s="146">
        <v>394222</v>
      </c>
      <c r="L342" s="101" t="s">
        <v>387</v>
      </c>
      <c r="M342" s="105" t="s">
        <v>268</v>
      </c>
      <c r="N342" s="115"/>
      <c r="O342" s="115">
        <v>50000</v>
      </c>
      <c r="P342" s="115">
        <f t="shared" si="7"/>
        <v>0</v>
      </c>
      <c r="Q342" s="115"/>
      <c r="R342" s="115"/>
      <c r="S342" s="115"/>
      <c r="T342" s="115"/>
      <c r="U342" s="115"/>
      <c r="V342" s="115"/>
      <c r="W342" s="115"/>
      <c r="X342" s="115"/>
      <c r="Y342" s="115"/>
      <c r="Z342" s="115"/>
      <c r="AA342" s="115"/>
      <c r="AB342" s="115"/>
    </row>
    <row r="343" spans="1:28" ht="48">
      <c r="A343" s="107">
        <v>40070976</v>
      </c>
      <c r="B343" s="107">
        <v>24</v>
      </c>
      <c r="C343" s="233" t="s">
        <v>25</v>
      </c>
      <c r="D343" s="103"/>
      <c r="E343" s="101" t="s">
        <v>132</v>
      </c>
      <c r="F343" s="108" t="s">
        <v>649</v>
      </c>
      <c r="G343" s="117" t="s">
        <v>103</v>
      </c>
      <c r="H343" s="101" t="s">
        <v>134</v>
      </c>
      <c r="I343" s="101">
        <v>2025</v>
      </c>
      <c r="J343" s="101">
        <v>14956</v>
      </c>
      <c r="K343" s="146">
        <v>719963.46499999997</v>
      </c>
      <c r="L343" s="101" t="s">
        <v>650</v>
      </c>
      <c r="M343" s="105" t="s">
        <v>340</v>
      </c>
      <c r="N343" s="115">
        <v>499702</v>
      </c>
      <c r="O343" s="115"/>
      <c r="P343" s="115">
        <f t="shared" si="7"/>
        <v>0</v>
      </c>
      <c r="Q343" s="115"/>
      <c r="R343" s="115"/>
      <c r="S343" s="115"/>
      <c r="T343" s="115"/>
      <c r="U343" s="115"/>
      <c r="V343" s="115"/>
      <c r="W343" s="115"/>
      <c r="X343" s="115"/>
      <c r="Y343" s="115"/>
      <c r="Z343" s="115"/>
      <c r="AA343" s="115"/>
      <c r="AB343" s="115"/>
    </row>
    <row r="344" spans="1:28" ht="48">
      <c r="A344" s="107">
        <v>40064260</v>
      </c>
      <c r="B344" s="107">
        <v>24</v>
      </c>
      <c r="C344" s="233" t="s">
        <v>25</v>
      </c>
      <c r="D344" s="103"/>
      <c r="E344" s="101" t="s">
        <v>132</v>
      </c>
      <c r="F344" s="108" t="s">
        <v>651</v>
      </c>
      <c r="G344" s="117" t="s">
        <v>103</v>
      </c>
      <c r="H344" s="101" t="s">
        <v>134</v>
      </c>
      <c r="I344" s="101">
        <v>2024</v>
      </c>
      <c r="J344" s="101">
        <v>14150</v>
      </c>
      <c r="K344" s="146">
        <v>678656.23699999996</v>
      </c>
      <c r="L344" s="101" t="s">
        <v>650</v>
      </c>
      <c r="M344" s="105" t="s">
        <v>132</v>
      </c>
      <c r="N344" s="115">
        <v>206686</v>
      </c>
      <c r="O344" s="115"/>
      <c r="P344" s="115">
        <f t="shared" si="7"/>
        <v>206685</v>
      </c>
      <c r="Q344" s="115"/>
      <c r="R344" s="115">
        <v>206685</v>
      </c>
      <c r="S344" s="115"/>
      <c r="T344" s="115"/>
      <c r="U344" s="115"/>
      <c r="V344" s="115"/>
      <c r="W344" s="115"/>
      <c r="X344" s="115"/>
      <c r="Y344" s="115"/>
      <c r="Z344" s="115"/>
      <c r="AA344" s="115"/>
      <c r="AB344" s="115"/>
    </row>
    <row r="345" spans="1:28" ht="24">
      <c r="A345" s="238">
        <v>40055234</v>
      </c>
      <c r="B345" s="107">
        <v>31</v>
      </c>
      <c r="C345" s="103" t="s">
        <v>30</v>
      </c>
      <c r="E345" s="101" t="s">
        <v>132</v>
      </c>
      <c r="F345" s="223" t="s">
        <v>652</v>
      </c>
      <c r="G345" s="117" t="s">
        <v>85</v>
      </c>
      <c r="H345" s="119" t="s">
        <v>134</v>
      </c>
      <c r="I345" s="119">
        <v>2024</v>
      </c>
      <c r="J345" s="119">
        <v>14171</v>
      </c>
      <c r="K345" s="230">
        <v>299973</v>
      </c>
      <c r="L345" s="119" t="s">
        <v>236</v>
      </c>
      <c r="M345" s="105" t="s">
        <v>152</v>
      </c>
      <c r="N345" s="115">
        <v>1000</v>
      </c>
      <c r="O345" s="115">
        <v>72376</v>
      </c>
      <c r="P345" s="115">
        <f t="shared" si="7"/>
        <v>0</v>
      </c>
      <c r="Q345" s="115"/>
      <c r="R345" s="115"/>
      <c r="S345" s="115"/>
      <c r="T345" s="115"/>
      <c r="U345" s="115"/>
      <c r="V345" s="115"/>
      <c r="W345" s="115"/>
      <c r="X345" s="115"/>
      <c r="Y345" s="115"/>
      <c r="Z345" s="115"/>
      <c r="AA345" s="115"/>
      <c r="AB345" s="115"/>
    </row>
    <row r="346" spans="1:28" ht="36">
      <c r="A346" s="238">
        <v>40014206</v>
      </c>
      <c r="B346" s="107">
        <v>31</v>
      </c>
      <c r="C346" s="103" t="s">
        <v>30</v>
      </c>
      <c r="E346" s="101" t="s">
        <v>132</v>
      </c>
      <c r="F346" s="223" t="s">
        <v>653</v>
      </c>
      <c r="G346" s="243" t="s">
        <v>86</v>
      </c>
      <c r="H346" s="101" t="s">
        <v>183</v>
      </c>
      <c r="I346" s="101">
        <v>2024</v>
      </c>
      <c r="J346" s="101">
        <v>14171</v>
      </c>
      <c r="K346" s="146">
        <v>2524334</v>
      </c>
      <c r="L346" s="101" t="s">
        <v>489</v>
      </c>
      <c r="M346" s="105" t="s">
        <v>268</v>
      </c>
      <c r="N346" s="115">
        <v>1000</v>
      </c>
      <c r="O346" s="115">
        <v>120000</v>
      </c>
      <c r="P346" s="115">
        <f t="shared" si="7"/>
        <v>0</v>
      </c>
      <c r="Q346" s="115"/>
      <c r="R346" s="115"/>
      <c r="S346" s="115"/>
      <c r="T346" s="115"/>
      <c r="U346" s="115"/>
      <c r="V346" s="115"/>
      <c r="W346" s="115"/>
      <c r="X346" s="115"/>
      <c r="Y346" s="115"/>
      <c r="Z346" s="115"/>
      <c r="AA346" s="115"/>
      <c r="AB346" s="115"/>
    </row>
    <row r="347" spans="1:28" ht="24">
      <c r="A347" s="238">
        <v>30392032</v>
      </c>
      <c r="B347" s="107">
        <v>31</v>
      </c>
      <c r="C347" s="103" t="s">
        <v>30</v>
      </c>
      <c r="E347" s="101" t="s">
        <v>132</v>
      </c>
      <c r="F347" s="223" t="s">
        <v>654</v>
      </c>
      <c r="G347" s="243" t="s">
        <v>98</v>
      </c>
      <c r="H347" s="101" t="s">
        <v>213</v>
      </c>
      <c r="I347" s="101">
        <v>2024</v>
      </c>
      <c r="J347" s="101">
        <v>14171</v>
      </c>
      <c r="K347" s="146">
        <v>433033</v>
      </c>
      <c r="L347" s="101" t="s">
        <v>151</v>
      </c>
      <c r="M347" s="105" t="s">
        <v>152</v>
      </c>
      <c r="N347" s="115">
        <v>1000</v>
      </c>
      <c r="O347" s="115">
        <v>120705</v>
      </c>
      <c r="P347" s="115">
        <f t="shared" ref="P347:P390" si="8">SUM(Q347:AB347)</f>
        <v>0</v>
      </c>
      <c r="Q347" s="115"/>
      <c r="R347" s="115"/>
      <c r="S347" s="115"/>
      <c r="T347" s="115"/>
      <c r="U347" s="115"/>
      <c r="V347" s="115"/>
      <c r="W347" s="115"/>
      <c r="X347" s="115"/>
      <c r="Y347" s="115"/>
      <c r="Z347" s="115"/>
      <c r="AA347" s="115"/>
      <c r="AB347" s="115"/>
    </row>
    <row r="348" spans="1:28" ht="36">
      <c r="A348" s="238">
        <v>40071416</v>
      </c>
      <c r="B348" s="107">
        <v>22</v>
      </c>
      <c r="C348" s="103" t="s">
        <v>655</v>
      </c>
      <c r="D348" s="242"/>
      <c r="E348" s="101" t="s">
        <v>132</v>
      </c>
      <c r="F348" s="223" t="s">
        <v>656</v>
      </c>
      <c r="G348" s="243" t="s">
        <v>103</v>
      </c>
      <c r="H348" s="101" t="s">
        <v>134</v>
      </c>
      <c r="I348" s="101">
        <v>2025</v>
      </c>
      <c r="J348" s="101">
        <v>14908</v>
      </c>
      <c r="K348" s="146">
        <v>120566</v>
      </c>
      <c r="L348" s="101" t="s">
        <v>216</v>
      </c>
      <c r="M348" s="105" t="s">
        <v>340</v>
      </c>
      <c r="N348" s="244">
        <v>0</v>
      </c>
      <c r="O348" s="115">
        <v>50000</v>
      </c>
      <c r="P348" s="115"/>
      <c r="Q348" s="115"/>
      <c r="R348" s="115"/>
      <c r="S348" s="115"/>
      <c r="T348" s="115"/>
      <c r="U348" s="115"/>
      <c r="V348" s="115"/>
      <c r="W348" s="115"/>
      <c r="X348" s="115"/>
      <c r="Y348" s="115"/>
      <c r="Z348" s="115"/>
      <c r="AA348" s="115"/>
      <c r="AB348" s="115"/>
    </row>
    <row r="349" spans="1:28" ht="24">
      <c r="A349" s="107">
        <v>40065411</v>
      </c>
      <c r="B349" s="107">
        <v>22</v>
      </c>
      <c r="C349" s="103" t="s">
        <v>655</v>
      </c>
      <c r="D349" s="242"/>
      <c r="E349" s="101" t="s">
        <v>132</v>
      </c>
      <c r="F349" s="108" t="s">
        <v>657</v>
      </c>
      <c r="G349" s="243" t="s">
        <v>103</v>
      </c>
      <c r="H349" s="101" t="s">
        <v>183</v>
      </c>
      <c r="I349" s="101">
        <v>2024</v>
      </c>
      <c r="J349" s="101">
        <v>14174</v>
      </c>
      <c r="K349" s="146">
        <v>180000</v>
      </c>
      <c r="L349" s="101" t="s">
        <v>216</v>
      </c>
      <c r="M349" s="105" t="s">
        <v>340</v>
      </c>
      <c r="N349" s="244">
        <v>180000</v>
      </c>
      <c r="O349" s="115">
        <v>50000</v>
      </c>
      <c r="P349" s="115">
        <f t="shared" si="8"/>
        <v>0</v>
      </c>
      <c r="Q349" s="115"/>
      <c r="R349" s="115"/>
      <c r="S349" s="115"/>
      <c r="T349" s="115"/>
      <c r="U349" s="115"/>
      <c r="V349" s="115"/>
      <c r="W349" s="115"/>
      <c r="X349" s="115"/>
      <c r="Y349" s="115"/>
      <c r="Z349" s="115"/>
      <c r="AA349" s="115"/>
      <c r="AB349" s="115"/>
    </row>
    <row r="350" spans="1:28" ht="36">
      <c r="A350" s="238">
        <v>40064334</v>
      </c>
      <c r="B350" s="107">
        <v>24</v>
      </c>
      <c r="C350" s="103" t="s">
        <v>27</v>
      </c>
      <c r="E350" s="101" t="s">
        <v>132</v>
      </c>
      <c r="F350" s="223" t="s">
        <v>658</v>
      </c>
      <c r="G350" s="243" t="s">
        <v>103</v>
      </c>
      <c r="H350" s="101" t="s">
        <v>183</v>
      </c>
      <c r="I350" s="101">
        <v>2024</v>
      </c>
      <c r="J350" s="101">
        <v>14175</v>
      </c>
      <c r="K350" s="146">
        <v>194000</v>
      </c>
      <c r="L350" s="101" t="s">
        <v>348</v>
      </c>
      <c r="M350" s="105" t="s">
        <v>490</v>
      </c>
      <c r="N350" s="115"/>
      <c r="O350" s="115"/>
      <c r="P350" s="115">
        <f t="shared" si="8"/>
        <v>0</v>
      </c>
      <c r="Q350" s="115"/>
      <c r="R350" s="115"/>
      <c r="S350" s="115"/>
      <c r="T350" s="115"/>
      <c r="U350" s="115"/>
      <c r="V350" s="115"/>
      <c r="W350" s="115"/>
      <c r="X350" s="115"/>
      <c r="Y350" s="115"/>
      <c r="Z350" s="115"/>
      <c r="AA350" s="115"/>
      <c r="AB350" s="115"/>
    </row>
    <row r="351" spans="1:28" ht="36">
      <c r="A351" s="238">
        <v>40064855</v>
      </c>
      <c r="B351" s="224" t="s">
        <v>580</v>
      </c>
      <c r="C351" s="103" t="s">
        <v>25</v>
      </c>
      <c r="E351" s="101" t="s">
        <v>132</v>
      </c>
      <c r="F351" s="223" t="s">
        <v>659</v>
      </c>
      <c r="G351" s="243" t="s">
        <v>103</v>
      </c>
      <c r="H351" s="101" t="s">
        <v>276</v>
      </c>
      <c r="I351" s="101">
        <v>2024</v>
      </c>
      <c r="J351" s="101">
        <v>14177</v>
      </c>
      <c r="K351" s="146">
        <v>150000</v>
      </c>
      <c r="L351" s="101" t="s">
        <v>419</v>
      </c>
      <c r="M351" s="105" t="s">
        <v>340</v>
      </c>
      <c r="N351" s="115">
        <v>90000</v>
      </c>
      <c r="O351" s="115">
        <v>90000</v>
      </c>
      <c r="P351" s="115">
        <f t="shared" ref="P351:P358" si="9">SUM(Q351:AB351)</f>
        <v>0</v>
      </c>
      <c r="Q351" s="115"/>
      <c r="R351" s="115"/>
      <c r="S351" s="115"/>
      <c r="T351" s="115"/>
      <c r="U351" s="115"/>
      <c r="V351" s="115"/>
      <c r="W351" s="115"/>
      <c r="X351" s="115"/>
      <c r="Y351" s="115"/>
      <c r="Z351" s="115"/>
      <c r="AA351" s="115"/>
      <c r="AB351" s="115"/>
    </row>
    <row r="352" spans="1:28" ht="24">
      <c r="A352" s="238">
        <v>40064873</v>
      </c>
      <c r="B352" s="224" t="s">
        <v>580</v>
      </c>
      <c r="C352" s="103" t="s">
        <v>25</v>
      </c>
      <c r="E352" s="101" t="s">
        <v>132</v>
      </c>
      <c r="F352" s="223" t="s">
        <v>660</v>
      </c>
      <c r="G352" s="243" t="s">
        <v>103</v>
      </c>
      <c r="H352" s="101" t="s">
        <v>147</v>
      </c>
      <c r="I352" s="101">
        <v>2024</v>
      </c>
      <c r="J352" s="101">
        <v>14177</v>
      </c>
      <c r="K352" s="146">
        <v>150000</v>
      </c>
      <c r="L352" s="236" t="s">
        <v>433</v>
      </c>
      <c r="M352" s="105" t="s">
        <v>340</v>
      </c>
      <c r="N352" s="115">
        <v>90000</v>
      </c>
      <c r="O352" s="115">
        <v>90000</v>
      </c>
      <c r="P352" s="115">
        <f t="shared" si="9"/>
        <v>0</v>
      </c>
      <c r="Q352" s="115"/>
      <c r="R352" s="115"/>
      <c r="S352" s="115"/>
      <c r="T352" s="115"/>
      <c r="U352" s="115"/>
      <c r="V352" s="115"/>
      <c r="W352" s="115"/>
      <c r="X352" s="115"/>
      <c r="Y352" s="115"/>
      <c r="Z352" s="115"/>
      <c r="AA352" s="115"/>
      <c r="AB352" s="115"/>
    </row>
    <row r="353" spans="1:28" ht="36">
      <c r="A353" s="238">
        <v>40064876</v>
      </c>
      <c r="B353" s="224" t="s">
        <v>580</v>
      </c>
      <c r="C353" s="103" t="s">
        <v>25</v>
      </c>
      <c r="E353" s="101" t="s">
        <v>132</v>
      </c>
      <c r="F353" s="223" t="s">
        <v>661</v>
      </c>
      <c r="G353" s="243" t="s">
        <v>103</v>
      </c>
      <c r="H353" s="101" t="s">
        <v>276</v>
      </c>
      <c r="I353" s="101">
        <v>2024</v>
      </c>
      <c r="J353" s="101">
        <v>14177</v>
      </c>
      <c r="K353" s="146">
        <v>135000</v>
      </c>
      <c r="L353" s="101" t="s">
        <v>662</v>
      </c>
      <c r="M353" s="105" t="s">
        <v>340</v>
      </c>
      <c r="N353" s="115">
        <v>81000</v>
      </c>
      <c r="O353" s="115">
        <v>81000</v>
      </c>
      <c r="P353" s="115">
        <f t="shared" si="9"/>
        <v>0</v>
      </c>
      <c r="Q353" s="115"/>
      <c r="R353" s="115"/>
      <c r="S353" s="115"/>
      <c r="T353" s="115"/>
      <c r="U353" s="115"/>
      <c r="V353" s="115"/>
      <c r="W353" s="115"/>
      <c r="X353" s="115"/>
      <c r="Y353" s="115"/>
      <c r="Z353" s="115"/>
      <c r="AA353" s="115"/>
      <c r="AB353" s="115"/>
    </row>
    <row r="354" spans="1:28" ht="36">
      <c r="A354" s="238">
        <v>40064880</v>
      </c>
      <c r="B354" s="224" t="s">
        <v>580</v>
      </c>
      <c r="C354" s="103" t="s">
        <v>25</v>
      </c>
      <c r="E354" s="101" t="s">
        <v>132</v>
      </c>
      <c r="F354" s="223" t="s">
        <v>663</v>
      </c>
      <c r="G354" s="243" t="s">
        <v>103</v>
      </c>
      <c r="H354" s="101" t="s">
        <v>185</v>
      </c>
      <c r="I354" s="101">
        <v>2024</v>
      </c>
      <c r="J354" s="101">
        <v>14177</v>
      </c>
      <c r="K354" s="146">
        <v>150000</v>
      </c>
      <c r="L354" s="101" t="s">
        <v>395</v>
      </c>
      <c r="M354" s="105" t="s">
        <v>340</v>
      </c>
      <c r="N354" s="115">
        <v>90000</v>
      </c>
      <c r="O354" s="115">
        <v>90000</v>
      </c>
      <c r="P354" s="115">
        <f t="shared" si="9"/>
        <v>0</v>
      </c>
      <c r="Q354" s="115"/>
      <c r="R354" s="115"/>
      <c r="S354" s="115"/>
      <c r="T354" s="115"/>
      <c r="U354" s="115"/>
      <c r="V354" s="115"/>
      <c r="W354" s="115"/>
      <c r="X354" s="115"/>
      <c r="Y354" s="115"/>
      <c r="Z354" s="115"/>
      <c r="AA354" s="115"/>
      <c r="AB354" s="115"/>
    </row>
    <row r="355" spans="1:28" ht="21" customHeight="1">
      <c r="A355" s="238">
        <v>40064857</v>
      </c>
      <c r="B355" s="224" t="s">
        <v>580</v>
      </c>
      <c r="C355" s="103" t="s">
        <v>25</v>
      </c>
      <c r="E355" s="101" t="s">
        <v>132</v>
      </c>
      <c r="F355" s="223" t="s">
        <v>664</v>
      </c>
      <c r="G355" s="243" t="s">
        <v>103</v>
      </c>
      <c r="H355" s="101" t="s">
        <v>310</v>
      </c>
      <c r="I355" s="101">
        <v>2024</v>
      </c>
      <c r="J355" s="101">
        <v>14177</v>
      </c>
      <c r="K355" s="146">
        <v>149983</v>
      </c>
      <c r="L355" s="101" t="s">
        <v>665</v>
      </c>
      <c r="M355" s="105" t="s">
        <v>340</v>
      </c>
      <c r="N355" s="115">
        <v>89989</v>
      </c>
      <c r="O355" s="115">
        <v>89989</v>
      </c>
      <c r="P355" s="115">
        <f t="shared" si="9"/>
        <v>0</v>
      </c>
      <c r="Q355" s="115"/>
      <c r="R355" s="115"/>
      <c r="S355" s="115"/>
      <c r="T355" s="115"/>
      <c r="U355" s="115"/>
      <c r="V355" s="115"/>
      <c r="W355" s="115"/>
      <c r="X355" s="115"/>
      <c r="Y355" s="115"/>
      <c r="Z355" s="115"/>
      <c r="AA355" s="115"/>
      <c r="AB355" s="115"/>
    </row>
    <row r="356" spans="1:28" ht="36">
      <c r="A356" s="238">
        <v>40064858</v>
      </c>
      <c r="B356" s="224" t="s">
        <v>580</v>
      </c>
      <c r="C356" s="103" t="s">
        <v>25</v>
      </c>
      <c r="E356" s="101" t="s">
        <v>132</v>
      </c>
      <c r="F356" s="223" t="s">
        <v>666</v>
      </c>
      <c r="G356" s="243" t="s">
        <v>103</v>
      </c>
      <c r="H356" s="101" t="s">
        <v>276</v>
      </c>
      <c r="I356" s="101">
        <v>2024</v>
      </c>
      <c r="J356" s="101">
        <v>14177</v>
      </c>
      <c r="K356" s="146">
        <v>149746</v>
      </c>
      <c r="L356" s="101" t="s">
        <v>419</v>
      </c>
      <c r="M356" s="105" t="s">
        <v>340</v>
      </c>
      <c r="N356" s="115">
        <v>89247</v>
      </c>
      <c r="O356" s="115">
        <v>89247</v>
      </c>
      <c r="P356" s="115">
        <f t="shared" si="9"/>
        <v>0</v>
      </c>
      <c r="Q356" s="115"/>
      <c r="R356" s="115"/>
      <c r="S356" s="115"/>
      <c r="T356" s="115"/>
      <c r="U356" s="115"/>
      <c r="V356" s="115"/>
      <c r="W356" s="115"/>
      <c r="X356" s="115"/>
      <c r="Y356" s="115"/>
      <c r="Z356" s="115"/>
      <c r="AA356" s="115"/>
      <c r="AB356" s="115"/>
    </row>
    <row r="357" spans="1:28" ht="24">
      <c r="A357" s="238">
        <v>40064890</v>
      </c>
      <c r="B357" s="224" t="s">
        <v>580</v>
      </c>
      <c r="C357" s="103" t="s">
        <v>25</v>
      </c>
      <c r="E357" s="101" t="s">
        <v>132</v>
      </c>
      <c r="F357" s="223" t="s">
        <v>667</v>
      </c>
      <c r="G357" s="243" t="s">
        <v>103</v>
      </c>
      <c r="H357" s="101" t="s">
        <v>147</v>
      </c>
      <c r="I357" s="101">
        <v>2024</v>
      </c>
      <c r="J357" s="101">
        <v>14177</v>
      </c>
      <c r="K357" s="146">
        <v>150000</v>
      </c>
      <c r="L357" s="236" t="s">
        <v>433</v>
      </c>
      <c r="M357" s="105" t="s">
        <v>340</v>
      </c>
      <c r="N357" s="115">
        <v>90000</v>
      </c>
      <c r="O357" s="115">
        <v>90000</v>
      </c>
      <c r="P357" s="115">
        <f t="shared" si="9"/>
        <v>0</v>
      </c>
      <c r="Q357" s="115"/>
      <c r="R357" s="115"/>
      <c r="S357" s="115"/>
      <c r="T357" s="115"/>
      <c r="U357" s="115"/>
      <c r="V357" s="115"/>
      <c r="W357" s="115"/>
      <c r="X357" s="115"/>
      <c r="Y357" s="115"/>
      <c r="Z357" s="115"/>
      <c r="AA357" s="115"/>
      <c r="AB357" s="115"/>
    </row>
    <row r="358" spans="1:28" ht="24">
      <c r="A358" s="238">
        <v>40064892</v>
      </c>
      <c r="B358" s="224" t="s">
        <v>580</v>
      </c>
      <c r="C358" s="103" t="s">
        <v>25</v>
      </c>
      <c r="E358" s="101" t="s">
        <v>132</v>
      </c>
      <c r="F358" s="223" t="s">
        <v>668</v>
      </c>
      <c r="G358" s="243" t="s">
        <v>103</v>
      </c>
      <c r="H358" s="101" t="s">
        <v>147</v>
      </c>
      <c r="I358" s="101">
        <v>2024</v>
      </c>
      <c r="J358" s="101">
        <v>14177</v>
      </c>
      <c r="K358" s="146">
        <v>150000</v>
      </c>
      <c r="L358" s="236" t="s">
        <v>433</v>
      </c>
      <c r="M358" s="105" t="s">
        <v>340</v>
      </c>
      <c r="N358" s="115">
        <v>90000</v>
      </c>
      <c r="O358" s="115">
        <v>90000</v>
      </c>
      <c r="P358" s="115">
        <f t="shared" si="9"/>
        <v>0</v>
      </c>
      <c r="Q358" s="115"/>
      <c r="R358" s="115"/>
      <c r="S358" s="115"/>
      <c r="T358" s="115"/>
      <c r="U358" s="115"/>
      <c r="V358" s="115"/>
      <c r="W358" s="115"/>
      <c r="X358" s="115"/>
      <c r="Y358" s="115"/>
      <c r="Z358" s="115"/>
      <c r="AA358" s="115"/>
      <c r="AB358" s="115"/>
    </row>
    <row r="359" spans="1:28" ht="24">
      <c r="A359" s="238">
        <v>40064862</v>
      </c>
      <c r="B359" s="224" t="s">
        <v>580</v>
      </c>
      <c r="C359" s="103" t="s">
        <v>27</v>
      </c>
      <c r="E359" s="101" t="s">
        <v>132</v>
      </c>
      <c r="F359" s="223" t="s">
        <v>669</v>
      </c>
      <c r="G359" s="243" t="s">
        <v>103</v>
      </c>
      <c r="H359" s="101" t="s">
        <v>185</v>
      </c>
      <c r="I359" s="101">
        <v>2024</v>
      </c>
      <c r="J359" s="101">
        <v>14177</v>
      </c>
      <c r="K359" s="146">
        <v>149750</v>
      </c>
      <c r="L359" s="101" t="s">
        <v>670</v>
      </c>
      <c r="M359" s="105" t="s">
        <v>340</v>
      </c>
      <c r="N359" s="115">
        <v>89850</v>
      </c>
      <c r="O359" s="115">
        <v>89850</v>
      </c>
      <c r="P359" s="115">
        <f t="shared" si="8"/>
        <v>0</v>
      </c>
      <c r="Q359" s="115"/>
      <c r="R359" s="115"/>
      <c r="S359" s="115"/>
      <c r="T359" s="115"/>
      <c r="U359" s="115"/>
      <c r="V359" s="115"/>
      <c r="W359" s="115"/>
      <c r="X359" s="115"/>
      <c r="Y359" s="115"/>
      <c r="Z359" s="115"/>
      <c r="AA359" s="115"/>
      <c r="AB359" s="115"/>
    </row>
    <row r="360" spans="1:28" ht="36">
      <c r="A360" s="238">
        <v>40064893</v>
      </c>
      <c r="B360" s="224" t="s">
        <v>580</v>
      </c>
      <c r="C360" s="103" t="s">
        <v>25</v>
      </c>
      <c r="E360" s="101" t="s">
        <v>132</v>
      </c>
      <c r="F360" s="223" t="s">
        <v>671</v>
      </c>
      <c r="G360" s="243" t="s">
        <v>103</v>
      </c>
      <c r="H360" s="101" t="s">
        <v>276</v>
      </c>
      <c r="I360" s="101">
        <v>2024</v>
      </c>
      <c r="J360" s="101">
        <v>14177</v>
      </c>
      <c r="K360" s="146">
        <v>135000</v>
      </c>
      <c r="L360" s="101" t="s">
        <v>419</v>
      </c>
      <c r="M360" s="105" t="s">
        <v>340</v>
      </c>
      <c r="N360" s="115">
        <v>81000</v>
      </c>
      <c r="O360" s="115">
        <v>81000</v>
      </c>
      <c r="P360" s="115">
        <f t="shared" ref="P360" si="10">SUM(Q360:AB360)</f>
        <v>0</v>
      </c>
      <c r="Q360" s="115"/>
      <c r="R360" s="115"/>
      <c r="S360" s="115"/>
      <c r="T360" s="115"/>
      <c r="U360" s="115"/>
      <c r="V360" s="115"/>
      <c r="W360" s="115"/>
      <c r="X360" s="115"/>
      <c r="Y360" s="115"/>
      <c r="Z360" s="115"/>
      <c r="AA360" s="115"/>
      <c r="AB360" s="115"/>
    </row>
    <row r="361" spans="1:28" ht="24">
      <c r="A361" s="238">
        <v>40064864</v>
      </c>
      <c r="B361" s="224" t="s">
        <v>580</v>
      </c>
      <c r="C361" s="103" t="s">
        <v>27</v>
      </c>
      <c r="E361" s="101" t="s">
        <v>132</v>
      </c>
      <c r="F361" s="223" t="s">
        <v>672</v>
      </c>
      <c r="G361" s="243" t="s">
        <v>103</v>
      </c>
      <c r="H361" s="101" t="s">
        <v>185</v>
      </c>
      <c r="I361" s="101">
        <v>2024</v>
      </c>
      <c r="J361" s="101">
        <v>14177</v>
      </c>
      <c r="K361" s="146">
        <v>150000</v>
      </c>
      <c r="L361" s="101" t="s">
        <v>670</v>
      </c>
      <c r="M361" s="105" t="s">
        <v>340</v>
      </c>
      <c r="N361" s="115">
        <v>90000</v>
      </c>
      <c r="O361" s="115">
        <v>90000</v>
      </c>
      <c r="P361" s="115">
        <f t="shared" si="8"/>
        <v>0</v>
      </c>
      <c r="Q361" s="115"/>
      <c r="R361" s="115"/>
      <c r="S361" s="115"/>
      <c r="T361" s="115"/>
      <c r="U361" s="115"/>
      <c r="V361" s="115"/>
      <c r="W361" s="115"/>
      <c r="X361" s="115"/>
      <c r="Y361" s="115"/>
      <c r="Z361" s="115"/>
      <c r="AA361" s="115"/>
      <c r="AB361" s="115"/>
    </row>
    <row r="362" spans="1:28" ht="24">
      <c r="A362" s="238">
        <v>40064894</v>
      </c>
      <c r="B362" s="224" t="s">
        <v>580</v>
      </c>
      <c r="C362" s="103" t="s">
        <v>25</v>
      </c>
      <c r="E362" s="101" t="s">
        <v>132</v>
      </c>
      <c r="F362" s="223" t="s">
        <v>673</v>
      </c>
      <c r="G362" s="243" t="s">
        <v>103</v>
      </c>
      <c r="H362" s="101" t="s">
        <v>147</v>
      </c>
      <c r="I362" s="101">
        <v>2024</v>
      </c>
      <c r="J362" s="101">
        <v>14177</v>
      </c>
      <c r="K362" s="146">
        <v>150000</v>
      </c>
      <c r="L362" s="236" t="s">
        <v>433</v>
      </c>
      <c r="M362" s="105" t="s">
        <v>340</v>
      </c>
      <c r="N362" s="115">
        <v>90000</v>
      </c>
      <c r="O362" s="115">
        <v>90000</v>
      </c>
      <c r="P362" s="115">
        <f t="shared" ref="P362" si="11">SUM(Q362:AB362)</f>
        <v>0</v>
      </c>
      <c r="Q362" s="115"/>
      <c r="R362" s="115"/>
      <c r="S362" s="115"/>
      <c r="T362" s="115"/>
      <c r="U362" s="115"/>
      <c r="V362" s="115"/>
      <c r="W362" s="115"/>
      <c r="X362" s="115"/>
      <c r="Y362" s="115"/>
      <c r="Z362" s="115"/>
      <c r="AA362" s="115"/>
      <c r="AB362" s="115"/>
    </row>
    <row r="363" spans="1:28" ht="36">
      <c r="A363" s="238">
        <v>40064868</v>
      </c>
      <c r="B363" s="224" t="s">
        <v>580</v>
      </c>
      <c r="C363" s="103" t="s">
        <v>27</v>
      </c>
      <c r="E363" s="101" t="s">
        <v>132</v>
      </c>
      <c r="F363" s="223" t="s">
        <v>674</v>
      </c>
      <c r="G363" s="243" t="s">
        <v>103</v>
      </c>
      <c r="H363" s="101" t="s">
        <v>276</v>
      </c>
      <c r="I363" s="101">
        <v>2024</v>
      </c>
      <c r="J363" s="101">
        <v>14177</v>
      </c>
      <c r="K363" s="146">
        <v>148800</v>
      </c>
      <c r="L363" s="101" t="s">
        <v>670</v>
      </c>
      <c r="M363" s="105" t="s">
        <v>340</v>
      </c>
      <c r="N363" s="115">
        <v>89280</v>
      </c>
      <c r="O363" s="115">
        <v>89280</v>
      </c>
      <c r="P363" s="115">
        <f t="shared" si="8"/>
        <v>0</v>
      </c>
      <c r="Q363" s="115"/>
      <c r="R363" s="115"/>
      <c r="S363" s="115"/>
      <c r="T363" s="115"/>
      <c r="U363" s="115"/>
      <c r="V363" s="115"/>
      <c r="W363" s="115"/>
      <c r="X363" s="115"/>
      <c r="Y363" s="115"/>
      <c r="Z363" s="115"/>
      <c r="AA363" s="115"/>
      <c r="AB363" s="115"/>
    </row>
    <row r="364" spans="1:28" ht="36">
      <c r="A364" s="238">
        <v>40064896</v>
      </c>
      <c r="B364" s="224" t="s">
        <v>580</v>
      </c>
      <c r="C364" s="103" t="s">
        <v>25</v>
      </c>
      <c r="E364" s="101" t="s">
        <v>132</v>
      </c>
      <c r="F364" s="223" t="s">
        <v>675</v>
      </c>
      <c r="G364" s="243" t="s">
        <v>103</v>
      </c>
      <c r="H364" s="101" t="s">
        <v>276</v>
      </c>
      <c r="I364" s="101">
        <v>2024</v>
      </c>
      <c r="J364" s="101">
        <v>14177</v>
      </c>
      <c r="K364" s="146">
        <v>150000</v>
      </c>
      <c r="L364" s="101" t="s">
        <v>676</v>
      </c>
      <c r="M364" s="105" t="s">
        <v>340</v>
      </c>
      <c r="N364" s="115">
        <v>90000</v>
      </c>
      <c r="O364" s="115">
        <v>90000</v>
      </c>
      <c r="P364" s="115">
        <f t="shared" ref="P364" si="12">SUM(Q364:AB364)</f>
        <v>0</v>
      </c>
      <c r="Q364" s="115"/>
      <c r="R364" s="115"/>
      <c r="S364" s="115"/>
      <c r="T364" s="115"/>
      <c r="U364" s="115"/>
      <c r="V364" s="115"/>
      <c r="W364" s="115"/>
      <c r="X364" s="115"/>
      <c r="Y364" s="115"/>
      <c r="Z364" s="115"/>
      <c r="AA364" s="115"/>
      <c r="AB364" s="115"/>
    </row>
    <row r="365" spans="1:28" ht="36">
      <c r="A365" s="238">
        <v>40064869</v>
      </c>
      <c r="B365" s="224" t="s">
        <v>580</v>
      </c>
      <c r="C365" s="103" t="s">
        <v>27</v>
      </c>
      <c r="E365" s="101" t="s">
        <v>132</v>
      </c>
      <c r="F365" s="223" t="s">
        <v>677</v>
      </c>
      <c r="G365" s="243" t="s">
        <v>103</v>
      </c>
      <c r="H365" s="101" t="s">
        <v>276</v>
      </c>
      <c r="I365" s="101">
        <v>2024</v>
      </c>
      <c r="J365" s="101">
        <v>14177</v>
      </c>
      <c r="K365" s="146">
        <v>149100</v>
      </c>
      <c r="L365" s="101" t="s">
        <v>670</v>
      </c>
      <c r="M365" s="105" t="s">
        <v>340</v>
      </c>
      <c r="N365" s="115">
        <v>89460</v>
      </c>
      <c r="O365" s="115">
        <v>89460</v>
      </c>
      <c r="P365" s="115">
        <f t="shared" si="8"/>
        <v>0</v>
      </c>
      <c r="Q365" s="115"/>
      <c r="R365" s="115"/>
      <c r="S365" s="115"/>
      <c r="T365" s="115"/>
      <c r="U365" s="115"/>
      <c r="V365" s="115"/>
      <c r="W365" s="115"/>
      <c r="X365" s="115"/>
      <c r="Y365" s="115"/>
      <c r="Z365" s="115"/>
      <c r="AA365" s="115"/>
      <c r="AB365" s="115"/>
    </row>
    <row r="366" spans="1:28" ht="36">
      <c r="A366" s="238">
        <v>40064871</v>
      </c>
      <c r="B366" s="224" t="s">
        <v>580</v>
      </c>
      <c r="C366" s="103" t="s">
        <v>27</v>
      </c>
      <c r="E366" s="101" t="s">
        <v>132</v>
      </c>
      <c r="F366" s="223" t="s">
        <v>678</v>
      </c>
      <c r="G366" s="243" t="s">
        <v>103</v>
      </c>
      <c r="H366" s="101" t="s">
        <v>276</v>
      </c>
      <c r="I366" s="101">
        <v>2024</v>
      </c>
      <c r="J366" s="101">
        <v>14177</v>
      </c>
      <c r="K366" s="146">
        <v>150000</v>
      </c>
      <c r="L366" s="101" t="s">
        <v>670</v>
      </c>
      <c r="M366" s="105" t="s">
        <v>340</v>
      </c>
      <c r="N366" s="115">
        <v>90000</v>
      </c>
      <c r="O366" s="115">
        <v>90000</v>
      </c>
      <c r="P366" s="115">
        <f t="shared" si="8"/>
        <v>0</v>
      </c>
      <c r="Q366" s="115"/>
      <c r="R366" s="115"/>
      <c r="S366" s="115"/>
      <c r="T366" s="115"/>
      <c r="U366" s="115"/>
      <c r="V366" s="115"/>
      <c r="W366" s="115"/>
      <c r="X366" s="115"/>
      <c r="Y366" s="115"/>
      <c r="Z366" s="115"/>
      <c r="AA366" s="115"/>
      <c r="AB366" s="115"/>
    </row>
    <row r="367" spans="1:28" ht="60">
      <c r="A367" s="238"/>
      <c r="B367" s="103" t="s">
        <v>582</v>
      </c>
      <c r="C367" s="103" t="s">
        <v>25</v>
      </c>
      <c r="E367" s="228" t="s">
        <v>132</v>
      </c>
      <c r="F367" s="223" t="s">
        <v>679</v>
      </c>
      <c r="G367" s="243" t="s">
        <v>211</v>
      </c>
      <c r="H367" s="101"/>
      <c r="I367" s="101"/>
      <c r="J367" s="101"/>
      <c r="K367" s="146"/>
      <c r="L367" s="101" t="s">
        <v>395</v>
      </c>
      <c r="M367" s="105" t="s">
        <v>363</v>
      </c>
      <c r="N367" s="115">
        <v>796187</v>
      </c>
      <c r="O367" s="115"/>
      <c r="P367" s="115"/>
      <c r="Q367" s="115"/>
      <c r="R367" s="115"/>
      <c r="S367" s="115"/>
      <c r="T367" s="115"/>
      <c r="U367" s="115"/>
      <c r="V367" s="115"/>
      <c r="W367" s="115"/>
      <c r="X367" s="115"/>
      <c r="Y367" s="115"/>
      <c r="Z367" s="115"/>
      <c r="AA367" s="115"/>
      <c r="AB367" s="115"/>
    </row>
    <row r="368" spans="1:28" ht="60">
      <c r="A368" s="107">
        <v>40064773</v>
      </c>
      <c r="B368" s="103" t="s">
        <v>582</v>
      </c>
      <c r="C368" s="103" t="s">
        <v>25</v>
      </c>
      <c r="D368" s="103"/>
      <c r="E368" s="228" t="s">
        <v>132</v>
      </c>
      <c r="F368" s="223" t="s">
        <v>679</v>
      </c>
      <c r="G368" s="243" t="s">
        <v>103</v>
      </c>
      <c r="H368" s="101" t="s">
        <v>134</v>
      </c>
      <c r="I368" s="101">
        <v>2024</v>
      </c>
      <c r="J368" s="101">
        <v>14217</v>
      </c>
      <c r="K368" s="146">
        <v>1247460.9240000001</v>
      </c>
      <c r="L368" s="101" t="s">
        <v>395</v>
      </c>
      <c r="M368" s="105" t="s">
        <v>132</v>
      </c>
      <c r="N368" s="115">
        <v>517976</v>
      </c>
      <c r="O368" s="115"/>
      <c r="P368" s="115">
        <f t="shared" si="8"/>
        <v>517976</v>
      </c>
      <c r="Q368" s="115"/>
      <c r="R368" s="115">
        <v>517976</v>
      </c>
      <c r="S368" s="115"/>
      <c r="T368" s="115"/>
      <c r="U368" s="115"/>
      <c r="V368" s="115"/>
      <c r="W368" s="115"/>
      <c r="X368" s="115"/>
      <c r="Y368" s="115"/>
      <c r="Z368" s="115"/>
      <c r="AA368" s="115"/>
      <c r="AB368" s="115"/>
    </row>
    <row r="369" spans="1:28" ht="24">
      <c r="A369" s="238">
        <v>40055887</v>
      </c>
      <c r="B369" s="224" t="s">
        <v>525</v>
      </c>
      <c r="C369" s="103" t="s">
        <v>27</v>
      </c>
      <c r="E369" s="101" t="s">
        <v>132</v>
      </c>
      <c r="F369" s="223" t="s">
        <v>680</v>
      </c>
      <c r="G369" s="243" t="s">
        <v>90</v>
      </c>
      <c r="H369" s="101" t="s">
        <v>134</v>
      </c>
      <c r="I369" s="101">
        <v>2024</v>
      </c>
      <c r="J369" s="101">
        <v>14220</v>
      </c>
      <c r="K369" s="146">
        <v>136850</v>
      </c>
      <c r="L369" s="236" t="s">
        <v>482</v>
      </c>
      <c r="M369" s="105" t="s">
        <v>166</v>
      </c>
      <c r="N369" s="115"/>
      <c r="O369" s="115"/>
      <c r="P369" s="115">
        <f t="shared" si="8"/>
        <v>0</v>
      </c>
      <c r="Q369" s="115"/>
      <c r="R369" s="115"/>
      <c r="S369" s="115"/>
      <c r="T369" s="115"/>
      <c r="U369" s="115"/>
      <c r="V369" s="115"/>
      <c r="W369" s="115"/>
      <c r="X369" s="115"/>
      <c r="Y369" s="115"/>
      <c r="Z369" s="115"/>
      <c r="AA369" s="115"/>
      <c r="AB369" s="115"/>
    </row>
    <row r="370" spans="1:28" ht="24">
      <c r="A370" s="238">
        <v>40046209</v>
      </c>
      <c r="B370" s="224">
        <v>31</v>
      </c>
      <c r="C370" s="103" t="s">
        <v>30</v>
      </c>
      <c r="E370" s="101" t="s">
        <v>132</v>
      </c>
      <c r="F370" s="260" t="s">
        <v>681</v>
      </c>
      <c r="G370" s="243" t="s">
        <v>92</v>
      </c>
      <c r="H370" s="101" t="s">
        <v>154</v>
      </c>
      <c r="I370" s="101">
        <v>2024</v>
      </c>
      <c r="J370" s="101">
        <v>14246</v>
      </c>
      <c r="K370" s="146">
        <v>620790</v>
      </c>
      <c r="L370" s="101" t="s">
        <v>159</v>
      </c>
      <c r="M370" s="105" t="s">
        <v>152</v>
      </c>
      <c r="N370" s="115">
        <v>1000</v>
      </c>
      <c r="O370" s="115">
        <v>57183</v>
      </c>
      <c r="P370" s="115">
        <f t="shared" si="8"/>
        <v>0</v>
      </c>
      <c r="Q370" s="115"/>
      <c r="R370" s="115"/>
      <c r="S370" s="115"/>
      <c r="T370" s="115"/>
      <c r="U370" s="115"/>
      <c r="V370" s="115"/>
      <c r="W370" s="115"/>
      <c r="X370" s="115"/>
      <c r="Y370" s="115"/>
      <c r="Z370" s="115"/>
      <c r="AA370" s="115"/>
      <c r="AB370" s="115"/>
    </row>
    <row r="371" spans="1:28" ht="36">
      <c r="A371" s="238">
        <v>40046616</v>
      </c>
      <c r="B371" s="224">
        <v>33</v>
      </c>
      <c r="C371" s="103" t="s">
        <v>27</v>
      </c>
      <c r="E371" s="101" t="s">
        <v>132</v>
      </c>
      <c r="F371" s="249" t="s">
        <v>682</v>
      </c>
      <c r="G371" s="243" t="s">
        <v>103</v>
      </c>
      <c r="H371" s="101" t="s">
        <v>183</v>
      </c>
      <c r="I371" s="101">
        <v>2024</v>
      </c>
      <c r="J371" s="101">
        <v>14255</v>
      </c>
      <c r="K371" s="146">
        <v>400000</v>
      </c>
      <c r="L371" s="101" t="s">
        <v>348</v>
      </c>
      <c r="M371" s="105" t="s">
        <v>171</v>
      </c>
      <c r="N371" s="115">
        <v>400000</v>
      </c>
      <c r="O371" s="115">
        <v>400000</v>
      </c>
      <c r="P371" s="115">
        <f t="shared" si="8"/>
        <v>0</v>
      </c>
      <c r="Q371" s="115"/>
      <c r="R371" s="115"/>
      <c r="S371" s="115"/>
      <c r="T371" s="115"/>
      <c r="U371" s="115"/>
      <c r="V371" s="115"/>
      <c r="W371" s="115"/>
      <c r="X371" s="115"/>
      <c r="Y371" s="115"/>
      <c r="Z371" s="115"/>
      <c r="AA371" s="115"/>
      <c r="AB371" s="115"/>
    </row>
    <row r="372" spans="1:28" ht="48">
      <c r="A372" s="238">
        <v>40058908</v>
      </c>
      <c r="B372" s="224">
        <v>33</v>
      </c>
      <c r="C372" s="103" t="s">
        <v>27</v>
      </c>
      <c r="E372" s="101" t="s">
        <v>132</v>
      </c>
      <c r="F372" s="249" t="s">
        <v>683</v>
      </c>
      <c r="G372" s="243" t="s">
        <v>103</v>
      </c>
      <c r="H372" s="101" t="s">
        <v>276</v>
      </c>
      <c r="I372" s="101">
        <v>2024</v>
      </c>
      <c r="J372" s="101">
        <v>14262</v>
      </c>
      <c r="K372" s="146">
        <v>300000</v>
      </c>
      <c r="L372" s="101" t="s">
        <v>684</v>
      </c>
      <c r="M372" s="105" t="s">
        <v>192</v>
      </c>
      <c r="N372" s="115">
        <v>300000</v>
      </c>
      <c r="O372" s="115">
        <v>300000</v>
      </c>
      <c r="P372" s="115">
        <f t="shared" si="8"/>
        <v>0</v>
      </c>
      <c r="Q372" s="115"/>
      <c r="R372" s="115"/>
      <c r="S372" s="115"/>
      <c r="T372" s="115"/>
      <c r="U372" s="115"/>
      <c r="V372" s="115"/>
      <c r="W372" s="115"/>
      <c r="X372" s="115"/>
      <c r="Y372" s="115"/>
      <c r="Z372" s="115"/>
      <c r="AA372" s="115"/>
      <c r="AB372" s="115"/>
    </row>
    <row r="373" spans="1:28" ht="36">
      <c r="A373" s="238">
        <v>40057842</v>
      </c>
      <c r="B373" s="224">
        <v>33</v>
      </c>
      <c r="C373" s="103" t="s">
        <v>27</v>
      </c>
      <c r="E373" s="101" t="s">
        <v>132</v>
      </c>
      <c r="F373" s="249" t="s">
        <v>685</v>
      </c>
      <c r="G373" s="243" t="s">
        <v>103</v>
      </c>
      <c r="H373" s="101" t="s">
        <v>276</v>
      </c>
      <c r="I373" s="101">
        <v>2024</v>
      </c>
      <c r="J373" s="101">
        <v>14286</v>
      </c>
      <c r="K373" s="146">
        <v>2905494</v>
      </c>
      <c r="L373" s="101" t="s">
        <v>419</v>
      </c>
      <c r="M373" s="105" t="s">
        <v>171</v>
      </c>
      <c r="N373" s="115"/>
      <c r="O373" s="115"/>
      <c r="P373" s="115">
        <f t="shared" si="8"/>
        <v>0</v>
      </c>
      <c r="Q373" s="115"/>
      <c r="R373" s="115"/>
      <c r="S373" s="115"/>
      <c r="T373" s="115"/>
      <c r="U373" s="115"/>
      <c r="V373" s="115"/>
      <c r="W373" s="115"/>
      <c r="X373" s="115"/>
      <c r="Y373" s="115"/>
      <c r="Z373" s="115"/>
      <c r="AA373" s="115"/>
      <c r="AB373" s="115"/>
    </row>
    <row r="374" spans="1:28" ht="36">
      <c r="A374" s="238">
        <v>40048140</v>
      </c>
      <c r="B374" s="224">
        <v>29</v>
      </c>
      <c r="C374" s="103" t="s">
        <v>27</v>
      </c>
      <c r="E374" s="101" t="s">
        <v>132</v>
      </c>
      <c r="F374" s="249" t="s">
        <v>686</v>
      </c>
      <c r="G374" s="243" t="s">
        <v>103</v>
      </c>
      <c r="H374" s="101" t="s">
        <v>150</v>
      </c>
      <c r="I374" s="101">
        <v>2024</v>
      </c>
      <c r="J374" s="101">
        <v>14296</v>
      </c>
      <c r="K374" s="146">
        <v>1098251</v>
      </c>
      <c r="L374" s="101" t="s">
        <v>387</v>
      </c>
      <c r="M374" s="105" t="s">
        <v>268</v>
      </c>
      <c r="N374" s="115"/>
      <c r="O374" s="115">
        <v>25000</v>
      </c>
      <c r="P374" s="115">
        <f t="shared" si="8"/>
        <v>0</v>
      </c>
      <c r="Q374" s="115"/>
      <c r="R374" s="115"/>
      <c r="S374" s="115"/>
      <c r="T374" s="115"/>
      <c r="U374" s="115"/>
      <c r="V374" s="115"/>
      <c r="W374" s="115"/>
      <c r="X374" s="115"/>
      <c r="Y374" s="115"/>
      <c r="Z374" s="115"/>
      <c r="AA374" s="115"/>
      <c r="AB374" s="115"/>
    </row>
    <row r="375" spans="1:28" ht="36">
      <c r="A375" s="238">
        <v>40048325</v>
      </c>
      <c r="B375" s="224">
        <v>29</v>
      </c>
      <c r="C375" s="103" t="s">
        <v>27</v>
      </c>
      <c r="E375" s="101" t="s">
        <v>132</v>
      </c>
      <c r="F375" s="249" t="s">
        <v>687</v>
      </c>
      <c r="G375" s="243" t="s">
        <v>99</v>
      </c>
      <c r="H375" s="101" t="s">
        <v>134</v>
      </c>
      <c r="I375" s="101">
        <v>2024</v>
      </c>
      <c r="J375" s="101">
        <v>14297</v>
      </c>
      <c r="K375" s="146">
        <v>334075</v>
      </c>
      <c r="L375" s="236" t="s">
        <v>482</v>
      </c>
      <c r="M375" s="105" t="s">
        <v>152</v>
      </c>
      <c r="N375" s="115">
        <v>1000</v>
      </c>
      <c r="O375" s="115">
        <v>1000</v>
      </c>
      <c r="P375" s="115">
        <f t="shared" si="8"/>
        <v>0</v>
      </c>
      <c r="Q375" s="115"/>
      <c r="R375" s="115"/>
      <c r="S375" s="115"/>
      <c r="T375" s="115"/>
      <c r="U375" s="115"/>
      <c r="V375" s="115"/>
      <c r="W375" s="115"/>
      <c r="X375" s="115"/>
      <c r="Y375" s="115"/>
      <c r="Z375" s="115"/>
      <c r="AA375" s="115"/>
      <c r="AB375" s="115"/>
    </row>
    <row r="376" spans="1:28" ht="36">
      <c r="A376" s="238">
        <v>40056498</v>
      </c>
      <c r="B376" s="224">
        <v>29</v>
      </c>
      <c r="C376" s="103" t="s">
        <v>27</v>
      </c>
      <c r="E376" s="101" t="s">
        <v>132</v>
      </c>
      <c r="F376" s="249" t="s">
        <v>688</v>
      </c>
      <c r="G376" s="243" t="s">
        <v>87</v>
      </c>
      <c r="H376" s="101" t="s">
        <v>134</v>
      </c>
      <c r="I376" s="101">
        <v>2024</v>
      </c>
      <c r="J376" s="101">
        <v>14298</v>
      </c>
      <c r="K376" s="146">
        <v>699006</v>
      </c>
      <c r="L376" s="101" t="s">
        <v>216</v>
      </c>
      <c r="M376" s="105" t="s">
        <v>268</v>
      </c>
      <c r="N376" s="115">
        <v>1000</v>
      </c>
      <c r="O376" s="115">
        <v>25000</v>
      </c>
      <c r="P376" s="115">
        <f t="shared" si="8"/>
        <v>0</v>
      </c>
      <c r="Q376" s="115"/>
      <c r="R376" s="115"/>
      <c r="S376" s="115"/>
      <c r="T376" s="115"/>
      <c r="U376" s="115"/>
      <c r="V376" s="115"/>
      <c r="W376" s="115"/>
      <c r="X376" s="115"/>
      <c r="Y376" s="115"/>
      <c r="Z376" s="115"/>
      <c r="AA376" s="115"/>
      <c r="AB376" s="115"/>
    </row>
    <row r="377" spans="1:28" ht="24">
      <c r="A377" s="238">
        <v>40049810</v>
      </c>
      <c r="B377" s="224" t="s">
        <v>568</v>
      </c>
      <c r="C377" s="103" t="s">
        <v>30</v>
      </c>
      <c r="E377" s="101" t="s">
        <v>132</v>
      </c>
      <c r="F377" s="249" t="s">
        <v>689</v>
      </c>
      <c r="G377" s="243" t="s">
        <v>100</v>
      </c>
      <c r="H377" s="101" t="s">
        <v>134</v>
      </c>
      <c r="I377" s="101">
        <v>2024</v>
      </c>
      <c r="J377" s="101">
        <v>14306</v>
      </c>
      <c r="K377" s="146">
        <v>7867454</v>
      </c>
      <c r="L377" s="101" t="s">
        <v>199</v>
      </c>
      <c r="M377" s="105" t="s">
        <v>340</v>
      </c>
      <c r="N377" s="115">
        <v>1000</v>
      </c>
      <c r="O377" s="115">
        <v>345700</v>
      </c>
      <c r="P377" s="115">
        <f t="shared" si="8"/>
        <v>0</v>
      </c>
      <c r="Q377" s="115"/>
      <c r="R377" s="115"/>
      <c r="S377" s="115"/>
      <c r="T377" s="115"/>
      <c r="U377" s="115"/>
      <c r="V377" s="115"/>
      <c r="W377" s="115"/>
      <c r="X377" s="115"/>
      <c r="Y377" s="115"/>
      <c r="Z377" s="115"/>
      <c r="AA377" s="115"/>
      <c r="AB377" s="115"/>
    </row>
    <row r="378" spans="1:28" ht="24">
      <c r="A378" s="238">
        <v>40046278</v>
      </c>
      <c r="B378" s="224">
        <v>29</v>
      </c>
      <c r="C378" s="103" t="s">
        <v>38</v>
      </c>
      <c r="E378" s="101" t="s">
        <v>132</v>
      </c>
      <c r="F378" s="249" t="s">
        <v>690</v>
      </c>
      <c r="G378" s="269" t="s">
        <v>84</v>
      </c>
      <c r="H378" s="101" t="s">
        <v>213</v>
      </c>
      <c r="I378" s="101">
        <v>2024</v>
      </c>
      <c r="J378" s="101">
        <v>14306</v>
      </c>
      <c r="K378" s="146">
        <v>819016</v>
      </c>
      <c r="L378" s="101" t="s">
        <v>216</v>
      </c>
      <c r="M378" s="105" t="s">
        <v>340</v>
      </c>
      <c r="N378" s="115">
        <v>1000</v>
      </c>
      <c r="O378" s="115">
        <v>50000</v>
      </c>
      <c r="P378" s="115">
        <f t="shared" si="8"/>
        <v>0</v>
      </c>
      <c r="Q378" s="115"/>
      <c r="R378" s="115"/>
      <c r="S378" s="115"/>
      <c r="T378" s="115"/>
      <c r="U378" s="115"/>
      <c r="V378" s="115"/>
      <c r="W378" s="115"/>
      <c r="X378" s="115"/>
      <c r="Y378" s="115"/>
      <c r="Z378" s="115"/>
      <c r="AA378" s="115"/>
      <c r="AB378" s="115"/>
    </row>
    <row r="379" spans="1:28" ht="32.25" customHeight="1">
      <c r="A379" s="238">
        <v>40059551</v>
      </c>
      <c r="B379" s="224" t="s">
        <v>568</v>
      </c>
      <c r="C379" s="103" t="s">
        <v>30</v>
      </c>
      <c r="E379" s="101" t="s">
        <v>132</v>
      </c>
      <c r="F379" s="249" t="s">
        <v>691</v>
      </c>
      <c r="G379" s="269" t="s">
        <v>84</v>
      </c>
      <c r="H379" s="101" t="s">
        <v>150</v>
      </c>
      <c r="I379" s="101">
        <v>2024</v>
      </c>
      <c r="J379" s="101">
        <v>14306</v>
      </c>
      <c r="K379" s="146">
        <v>212407</v>
      </c>
      <c r="L379" s="101" t="s">
        <v>135</v>
      </c>
      <c r="M379" s="105" t="s">
        <v>152</v>
      </c>
      <c r="N379" s="115">
        <v>1000</v>
      </c>
      <c r="O379" s="115">
        <v>85626</v>
      </c>
      <c r="P379" s="115">
        <f t="shared" si="8"/>
        <v>0</v>
      </c>
      <c r="Q379" s="115"/>
      <c r="R379" s="115"/>
      <c r="S379" s="115"/>
      <c r="T379" s="115"/>
      <c r="U379" s="115"/>
      <c r="V379" s="115"/>
      <c r="W379" s="115"/>
      <c r="X379" s="115"/>
      <c r="Y379" s="115"/>
      <c r="Z379" s="115"/>
      <c r="AA379" s="115"/>
      <c r="AB379" s="115"/>
    </row>
    <row r="380" spans="1:28" ht="36">
      <c r="A380" s="238">
        <v>40066193</v>
      </c>
      <c r="B380" s="224" t="s">
        <v>580</v>
      </c>
      <c r="C380" s="103" t="s">
        <v>27</v>
      </c>
      <c r="E380" s="101" t="s">
        <v>132</v>
      </c>
      <c r="F380" s="223" t="s">
        <v>692</v>
      </c>
      <c r="G380" s="243" t="s">
        <v>98</v>
      </c>
      <c r="H380" s="101" t="s">
        <v>141</v>
      </c>
      <c r="I380" s="101">
        <v>2024</v>
      </c>
      <c r="J380" s="101">
        <v>14315</v>
      </c>
      <c r="K380" s="146">
        <v>3040906</v>
      </c>
      <c r="L380" s="101" t="s">
        <v>489</v>
      </c>
      <c r="M380" s="105" t="s">
        <v>490</v>
      </c>
      <c r="N380" s="115"/>
      <c r="O380" s="115"/>
      <c r="P380" s="115">
        <f t="shared" si="8"/>
        <v>0</v>
      </c>
      <c r="Q380" s="115"/>
      <c r="R380" s="115"/>
      <c r="S380" s="115"/>
      <c r="T380" s="115"/>
      <c r="U380" s="115"/>
      <c r="V380" s="115"/>
      <c r="W380" s="115"/>
      <c r="X380" s="115"/>
      <c r="Y380" s="115"/>
      <c r="Z380" s="115"/>
      <c r="AA380" s="115"/>
      <c r="AB380" s="115"/>
    </row>
    <row r="381" spans="1:28" ht="36">
      <c r="A381" s="238">
        <v>40066219</v>
      </c>
      <c r="B381" s="224" t="s">
        <v>580</v>
      </c>
      <c r="C381" s="103" t="s">
        <v>27</v>
      </c>
      <c r="E381" s="101" t="s">
        <v>132</v>
      </c>
      <c r="F381" s="223" t="s">
        <v>693</v>
      </c>
      <c r="G381" s="243" t="s">
        <v>90</v>
      </c>
      <c r="H381" s="101" t="s">
        <v>141</v>
      </c>
      <c r="I381" s="101">
        <v>2024</v>
      </c>
      <c r="J381" s="101">
        <v>14315</v>
      </c>
      <c r="K381" s="146">
        <v>1026814</v>
      </c>
      <c r="L381" s="101" t="s">
        <v>489</v>
      </c>
      <c r="M381" s="105" t="s">
        <v>490</v>
      </c>
      <c r="N381" s="115"/>
      <c r="O381" s="115"/>
      <c r="P381" s="115">
        <f t="shared" si="8"/>
        <v>0</v>
      </c>
      <c r="Q381" s="115"/>
      <c r="R381" s="115"/>
      <c r="S381" s="115"/>
      <c r="T381" s="115"/>
      <c r="U381" s="115"/>
      <c r="V381" s="115"/>
      <c r="W381" s="115"/>
      <c r="X381" s="115"/>
      <c r="Y381" s="115"/>
      <c r="Z381" s="115"/>
      <c r="AA381" s="115"/>
      <c r="AB381" s="115"/>
    </row>
    <row r="382" spans="1:28" ht="30.75" customHeight="1">
      <c r="A382" s="238">
        <v>40066220</v>
      </c>
      <c r="B382" s="224">
        <v>33</v>
      </c>
      <c r="C382" s="103" t="s">
        <v>27</v>
      </c>
      <c r="E382" s="101" t="s">
        <v>132</v>
      </c>
      <c r="F382" s="223" t="s">
        <v>694</v>
      </c>
      <c r="G382" s="243" t="s">
        <v>98</v>
      </c>
      <c r="H382" s="101" t="s">
        <v>141</v>
      </c>
      <c r="I382" s="101">
        <v>2024</v>
      </c>
      <c r="J382" s="101">
        <v>14334</v>
      </c>
      <c r="K382" s="146">
        <v>2212404</v>
      </c>
      <c r="L382" s="101" t="s">
        <v>489</v>
      </c>
      <c r="M382" s="105" t="s">
        <v>490</v>
      </c>
      <c r="N382" s="115"/>
      <c r="O382" s="115"/>
      <c r="P382" s="115">
        <f t="shared" si="8"/>
        <v>0</v>
      </c>
      <c r="Q382" s="115"/>
      <c r="R382" s="115"/>
      <c r="S382" s="115"/>
      <c r="T382" s="115"/>
      <c r="U382" s="115"/>
      <c r="V382" s="115"/>
      <c r="W382" s="115"/>
      <c r="X382" s="115"/>
      <c r="Y382" s="115"/>
      <c r="Z382" s="115"/>
      <c r="AA382" s="115"/>
      <c r="AB382" s="115"/>
    </row>
    <row r="383" spans="1:28" ht="44.25" customHeight="1">
      <c r="A383" s="238">
        <v>40054846</v>
      </c>
      <c r="B383" s="224" t="s">
        <v>580</v>
      </c>
      <c r="C383" s="224" t="s">
        <v>27</v>
      </c>
      <c r="D383" s="236"/>
      <c r="E383" s="101" t="s">
        <v>132</v>
      </c>
      <c r="F383" s="223" t="s">
        <v>695</v>
      </c>
      <c r="G383" s="243" t="s">
        <v>103</v>
      </c>
      <c r="H383" s="101" t="s">
        <v>185</v>
      </c>
      <c r="I383" s="101">
        <v>2024</v>
      </c>
      <c r="J383" s="101">
        <v>14345</v>
      </c>
      <c r="K383" s="146">
        <v>6054133</v>
      </c>
      <c r="L383" s="101" t="s">
        <v>216</v>
      </c>
      <c r="M383" s="105" t="s">
        <v>171</v>
      </c>
      <c r="N383" s="115"/>
      <c r="O383" s="115"/>
      <c r="P383" s="115">
        <f t="shared" si="8"/>
        <v>0</v>
      </c>
      <c r="Q383" s="115"/>
      <c r="R383" s="115"/>
      <c r="S383" s="115"/>
      <c r="T383" s="115"/>
      <c r="U383" s="115"/>
      <c r="V383" s="115"/>
      <c r="W383" s="115"/>
      <c r="X383" s="115"/>
      <c r="Y383" s="115"/>
      <c r="Z383" s="115"/>
      <c r="AA383" s="115"/>
      <c r="AB383" s="115"/>
    </row>
    <row r="384" spans="1:28" ht="45.75" customHeight="1">
      <c r="A384" s="238">
        <v>40066608</v>
      </c>
      <c r="B384" s="224" t="s">
        <v>582</v>
      </c>
      <c r="C384" s="224" t="s">
        <v>27</v>
      </c>
      <c r="D384" s="236"/>
      <c r="E384" s="101" t="s">
        <v>132</v>
      </c>
      <c r="F384" s="223" t="s">
        <v>696</v>
      </c>
      <c r="G384" s="243" t="s">
        <v>103</v>
      </c>
      <c r="H384" s="101" t="s">
        <v>147</v>
      </c>
      <c r="I384" s="101">
        <v>2024</v>
      </c>
      <c r="J384" s="101">
        <v>14383</v>
      </c>
      <c r="K384" s="146">
        <v>4530510</v>
      </c>
      <c r="L384" s="101" t="s">
        <v>173</v>
      </c>
      <c r="M384" s="105" t="s">
        <v>171</v>
      </c>
      <c r="N384" s="115"/>
      <c r="O384" s="115"/>
      <c r="P384" s="115">
        <f t="shared" si="8"/>
        <v>0</v>
      </c>
      <c r="Q384" s="115"/>
      <c r="R384" s="115"/>
      <c r="S384" s="115"/>
      <c r="T384" s="115"/>
      <c r="U384" s="115"/>
      <c r="V384" s="115"/>
      <c r="W384" s="115"/>
      <c r="X384" s="115"/>
      <c r="Y384" s="115"/>
      <c r="Z384" s="115"/>
      <c r="AA384" s="115"/>
      <c r="AB384" s="115"/>
    </row>
    <row r="385" spans="1:28" ht="35.25" customHeight="1">
      <c r="A385" s="238">
        <v>40053013</v>
      </c>
      <c r="B385" s="224" t="s">
        <v>525</v>
      </c>
      <c r="C385" s="224" t="s">
        <v>38</v>
      </c>
      <c r="D385" s="236"/>
      <c r="E385" s="101" t="s">
        <v>132</v>
      </c>
      <c r="F385" s="223" t="s">
        <v>697</v>
      </c>
      <c r="G385" s="243" t="s">
        <v>83</v>
      </c>
      <c r="H385" s="101" t="s">
        <v>213</v>
      </c>
      <c r="I385" s="101">
        <v>2024</v>
      </c>
      <c r="J385" s="101">
        <v>14393</v>
      </c>
      <c r="K385" s="146">
        <v>218983</v>
      </c>
      <c r="L385" s="101" t="s">
        <v>216</v>
      </c>
      <c r="M385" s="105" t="s">
        <v>340</v>
      </c>
      <c r="N385" s="115">
        <v>1000</v>
      </c>
      <c r="O385" s="115">
        <v>25000</v>
      </c>
      <c r="P385" s="115">
        <f t="shared" si="8"/>
        <v>0</v>
      </c>
      <c r="Q385" s="115"/>
      <c r="R385" s="115"/>
      <c r="S385" s="115"/>
      <c r="T385" s="115"/>
      <c r="U385" s="115"/>
      <c r="V385" s="115"/>
      <c r="W385" s="115"/>
      <c r="X385" s="115"/>
      <c r="Y385" s="115"/>
      <c r="Z385" s="115"/>
      <c r="AA385" s="115"/>
      <c r="AB385" s="115"/>
    </row>
    <row r="386" spans="1:28" ht="36.75" customHeight="1">
      <c r="A386" s="238">
        <v>40009584</v>
      </c>
      <c r="B386" s="224" t="s">
        <v>568</v>
      </c>
      <c r="C386" s="224" t="s">
        <v>30</v>
      </c>
      <c r="D386" s="236"/>
      <c r="E386" s="101" t="s">
        <v>132</v>
      </c>
      <c r="F386" s="223" t="s">
        <v>698</v>
      </c>
      <c r="G386" s="243" t="s">
        <v>99</v>
      </c>
      <c r="H386" s="101" t="s">
        <v>134</v>
      </c>
      <c r="I386" s="101">
        <v>2024</v>
      </c>
      <c r="J386" s="101">
        <v>14394</v>
      </c>
      <c r="K386" s="146">
        <v>993592</v>
      </c>
      <c r="L386" s="101" t="s">
        <v>226</v>
      </c>
      <c r="M386" s="105" t="s">
        <v>268</v>
      </c>
      <c r="N386" s="115">
        <v>1000</v>
      </c>
      <c r="O386" s="115">
        <v>331022</v>
      </c>
      <c r="P386" s="115">
        <f t="shared" si="8"/>
        <v>0</v>
      </c>
      <c r="Q386" s="115"/>
      <c r="R386" s="115"/>
      <c r="S386" s="115"/>
      <c r="T386" s="115"/>
      <c r="U386" s="115"/>
      <c r="V386" s="115"/>
      <c r="W386" s="115"/>
      <c r="X386" s="115"/>
      <c r="Y386" s="115"/>
      <c r="Z386" s="115"/>
      <c r="AA386" s="115"/>
      <c r="AB386" s="115"/>
    </row>
    <row r="387" spans="1:28" ht="36.75" customHeight="1">
      <c r="A387" s="238">
        <v>40064663</v>
      </c>
      <c r="B387" s="224" t="s">
        <v>525</v>
      </c>
      <c r="C387" s="224" t="s">
        <v>27</v>
      </c>
      <c r="D387" s="236"/>
      <c r="E387" s="101" t="s">
        <v>132</v>
      </c>
      <c r="F387" s="223" t="s">
        <v>699</v>
      </c>
      <c r="G387" s="243" t="s">
        <v>103</v>
      </c>
      <c r="H387" s="101" t="s">
        <v>150</v>
      </c>
      <c r="I387" s="101">
        <v>2024</v>
      </c>
      <c r="J387" s="101">
        <v>14395</v>
      </c>
      <c r="K387" s="146">
        <v>208700</v>
      </c>
      <c r="L387" s="101" t="s">
        <v>387</v>
      </c>
      <c r="M387" s="105" t="s">
        <v>268</v>
      </c>
      <c r="N387" s="115"/>
      <c r="O387" s="115">
        <v>25000</v>
      </c>
      <c r="P387" s="115">
        <f t="shared" si="8"/>
        <v>0</v>
      </c>
      <c r="Q387" s="115"/>
      <c r="R387" s="115"/>
      <c r="S387" s="115"/>
      <c r="T387" s="115"/>
      <c r="U387" s="115"/>
      <c r="V387" s="115"/>
      <c r="W387" s="115"/>
      <c r="X387" s="115"/>
      <c r="Y387" s="115"/>
      <c r="Z387" s="115"/>
      <c r="AA387" s="115"/>
      <c r="AB387" s="115"/>
    </row>
    <row r="388" spans="1:28" ht="24">
      <c r="A388" s="107">
        <v>40065916</v>
      </c>
      <c r="B388" s="224" t="s">
        <v>568</v>
      </c>
      <c r="C388" s="224" t="s">
        <v>30</v>
      </c>
      <c r="D388" s="236"/>
      <c r="E388" s="101" t="s">
        <v>132</v>
      </c>
      <c r="F388" s="108" t="s">
        <v>700</v>
      </c>
      <c r="G388" s="243" t="s">
        <v>92</v>
      </c>
      <c r="H388" s="101" t="s">
        <v>701</v>
      </c>
      <c r="I388" s="101">
        <v>2024</v>
      </c>
      <c r="J388" s="101">
        <v>14427</v>
      </c>
      <c r="K388" s="146">
        <v>832990</v>
      </c>
      <c r="L388" s="101" t="s">
        <v>159</v>
      </c>
      <c r="M388" s="105" t="s">
        <v>152</v>
      </c>
      <c r="N388" s="115">
        <v>1000</v>
      </c>
      <c r="O388" s="115">
        <v>54963</v>
      </c>
      <c r="P388" s="115">
        <f t="shared" si="8"/>
        <v>0</v>
      </c>
      <c r="Q388" s="115"/>
      <c r="R388" s="115"/>
      <c r="S388" s="115"/>
      <c r="T388" s="115"/>
      <c r="U388" s="115"/>
      <c r="V388" s="115"/>
      <c r="W388" s="115"/>
      <c r="X388" s="115"/>
      <c r="Y388" s="115"/>
      <c r="Z388" s="115"/>
      <c r="AA388" s="115"/>
      <c r="AB388" s="115"/>
    </row>
    <row r="389" spans="1:28" ht="24">
      <c r="A389" s="238">
        <v>40021859</v>
      </c>
      <c r="B389" s="224" t="s">
        <v>525</v>
      </c>
      <c r="C389" s="224" t="s">
        <v>27</v>
      </c>
      <c r="D389" s="236"/>
      <c r="E389" s="101" t="s">
        <v>132</v>
      </c>
      <c r="F389" s="223" t="s">
        <v>702</v>
      </c>
      <c r="G389" s="243" t="s">
        <v>98</v>
      </c>
      <c r="H389" s="101" t="s">
        <v>134</v>
      </c>
      <c r="I389" s="101">
        <v>2024</v>
      </c>
      <c r="J389" s="101">
        <v>14427</v>
      </c>
      <c r="K389" s="146">
        <v>149464</v>
      </c>
      <c r="L389" s="101" t="s">
        <v>216</v>
      </c>
      <c r="M389" s="105" t="s">
        <v>340</v>
      </c>
      <c r="N389" s="115">
        <v>1000</v>
      </c>
      <c r="O389" s="115">
        <v>25000</v>
      </c>
      <c r="P389" s="115">
        <f t="shared" si="8"/>
        <v>0</v>
      </c>
      <c r="Q389" s="115"/>
      <c r="R389" s="115"/>
      <c r="S389" s="115"/>
      <c r="T389" s="115"/>
      <c r="U389" s="115"/>
      <c r="V389" s="115"/>
      <c r="W389" s="115"/>
      <c r="X389" s="115"/>
      <c r="Y389" s="115"/>
      <c r="Z389" s="115"/>
      <c r="AA389" s="115"/>
      <c r="AB389" s="115"/>
    </row>
    <row r="390" spans="1:28" ht="36">
      <c r="A390" s="238">
        <v>40066215</v>
      </c>
      <c r="B390" s="224" t="s">
        <v>580</v>
      </c>
      <c r="C390" s="224" t="s">
        <v>27</v>
      </c>
      <c r="D390" s="236"/>
      <c r="E390" s="101" t="s">
        <v>132</v>
      </c>
      <c r="F390" s="223" t="s">
        <v>703</v>
      </c>
      <c r="G390" s="243" t="s">
        <v>82</v>
      </c>
      <c r="H390" s="101" t="s">
        <v>141</v>
      </c>
      <c r="I390" s="101">
        <v>2023</v>
      </c>
      <c r="J390" s="101">
        <v>13595</v>
      </c>
      <c r="K390" s="146">
        <v>1216254</v>
      </c>
      <c r="L390" s="101" t="s">
        <v>489</v>
      </c>
      <c r="M390" s="105" t="s">
        <v>490</v>
      </c>
      <c r="N390" s="115"/>
      <c r="O390" s="115"/>
      <c r="P390" s="115">
        <f t="shared" si="8"/>
        <v>0</v>
      </c>
      <c r="Q390" s="115"/>
      <c r="R390" s="115"/>
      <c r="S390" s="115"/>
      <c r="T390" s="115"/>
      <c r="U390" s="115"/>
      <c r="V390" s="115"/>
      <c r="W390" s="115"/>
      <c r="X390" s="115"/>
      <c r="Y390" s="115"/>
      <c r="Z390" s="115"/>
      <c r="AA390" s="115"/>
      <c r="AB390" s="115"/>
    </row>
    <row r="391" spans="1:28" ht="36">
      <c r="A391" s="238">
        <v>40066186</v>
      </c>
      <c r="B391" s="224" t="s">
        <v>580</v>
      </c>
      <c r="C391" s="224" t="s">
        <v>27</v>
      </c>
      <c r="D391" s="236"/>
      <c r="E391" s="101" t="s">
        <v>132</v>
      </c>
      <c r="F391" s="223" t="s">
        <v>704</v>
      </c>
      <c r="G391" s="243" t="s">
        <v>100</v>
      </c>
      <c r="H391" s="101" t="s">
        <v>141</v>
      </c>
      <c r="I391" s="101">
        <v>2023</v>
      </c>
      <c r="J391" s="101">
        <v>13595</v>
      </c>
      <c r="K391" s="146">
        <v>93969</v>
      </c>
      <c r="L391" s="101" t="s">
        <v>489</v>
      </c>
      <c r="M391" s="105" t="s">
        <v>132</v>
      </c>
      <c r="N391" s="115"/>
      <c r="O391" s="115">
        <v>18470</v>
      </c>
      <c r="P391" s="115">
        <f>SUM(Q391:AB391)</f>
        <v>18470</v>
      </c>
      <c r="Q391" s="115"/>
      <c r="R391" s="115"/>
      <c r="S391" s="115"/>
      <c r="T391" s="115"/>
      <c r="U391" s="115">
        <v>18470</v>
      </c>
      <c r="V391" s="115"/>
      <c r="W391" s="115"/>
      <c r="X391" s="115"/>
      <c r="Y391" s="115"/>
      <c r="Z391" s="285"/>
      <c r="AA391" s="115"/>
      <c r="AB391" s="277"/>
    </row>
    <row r="392" spans="1:28" ht="36">
      <c r="A392" s="238" t="s">
        <v>705</v>
      </c>
      <c r="B392" s="224" t="s">
        <v>580</v>
      </c>
      <c r="C392" s="224" t="s">
        <v>27</v>
      </c>
      <c r="D392" s="236"/>
      <c r="E392" s="101" t="s">
        <v>132</v>
      </c>
      <c r="F392" s="223" t="s">
        <v>706</v>
      </c>
      <c r="G392" s="243" t="s">
        <v>100</v>
      </c>
      <c r="H392" s="101" t="s">
        <v>141</v>
      </c>
      <c r="I392" s="101">
        <v>2024</v>
      </c>
      <c r="J392" s="101">
        <v>14434</v>
      </c>
      <c r="K392" s="146">
        <v>433466.67</v>
      </c>
      <c r="L392" s="101" t="s">
        <v>489</v>
      </c>
      <c r="M392" s="105" t="s">
        <v>490</v>
      </c>
      <c r="N392" s="115"/>
      <c r="O392" s="115"/>
      <c r="P392" s="115">
        <f t="shared" ref="P392:P434" si="13">SUM(Q392:AB392)</f>
        <v>0</v>
      </c>
      <c r="Q392" s="115"/>
      <c r="R392" s="115"/>
      <c r="S392" s="115"/>
      <c r="T392" s="115"/>
      <c r="U392" s="115"/>
      <c r="V392" s="115"/>
      <c r="W392" s="115"/>
      <c r="X392" s="115"/>
      <c r="Y392" s="115"/>
      <c r="Z392" s="115"/>
      <c r="AA392" s="115"/>
      <c r="AB392" s="115"/>
    </row>
    <row r="393" spans="1:28" ht="36">
      <c r="A393" s="238" t="s">
        <v>705</v>
      </c>
      <c r="B393" s="224" t="s">
        <v>580</v>
      </c>
      <c r="C393" s="224" t="s">
        <v>27</v>
      </c>
      <c r="D393" s="236"/>
      <c r="E393" s="101" t="s">
        <v>132</v>
      </c>
      <c r="F393" s="223" t="s">
        <v>707</v>
      </c>
      <c r="G393" s="243" t="s">
        <v>98</v>
      </c>
      <c r="H393" s="101" t="s">
        <v>141</v>
      </c>
      <c r="I393" s="101">
        <v>2024</v>
      </c>
      <c r="J393" s="101">
        <v>14434</v>
      </c>
      <c r="K393" s="146">
        <v>463117.13</v>
      </c>
      <c r="L393" s="101" t="s">
        <v>489</v>
      </c>
      <c r="M393" s="105" t="s">
        <v>490</v>
      </c>
      <c r="N393" s="115"/>
      <c r="O393" s="115"/>
      <c r="P393" s="115">
        <f t="shared" si="13"/>
        <v>0</v>
      </c>
      <c r="Q393" s="115"/>
      <c r="R393" s="115"/>
      <c r="S393" s="115"/>
      <c r="T393" s="115"/>
      <c r="U393" s="115"/>
      <c r="V393" s="115"/>
      <c r="W393" s="115"/>
      <c r="X393" s="115"/>
      <c r="Y393" s="115"/>
      <c r="Z393" s="115"/>
      <c r="AA393" s="115"/>
      <c r="AB393" s="115"/>
    </row>
    <row r="394" spans="1:28" ht="36">
      <c r="A394" s="238">
        <v>40065749</v>
      </c>
      <c r="B394" s="224" t="s">
        <v>525</v>
      </c>
      <c r="C394" s="224" t="s">
        <v>27</v>
      </c>
      <c r="D394" s="236"/>
      <c r="E394" s="101" t="s">
        <v>132</v>
      </c>
      <c r="F394" s="223" t="s">
        <v>708</v>
      </c>
      <c r="G394" s="243" t="s">
        <v>103</v>
      </c>
      <c r="H394" s="101" t="s">
        <v>150</v>
      </c>
      <c r="I394" s="101">
        <v>2024</v>
      </c>
      <c r="J394" s="101">
        <v>14443</v>
      </c>
      <c r="K394" s="146">
        <v>533930</v>
      </c>
      <c r="L394" s="101" t="s">
        <v>387</v>
      </c>
      <c r="M394" s="105" t="s">
        <v>268</v>
      </c>
      <c r="N394" s="115"/>
      <c r="O394" s="115">
        <v>25000</v>
      </c>
      <c r="P394" s="115">
        <f t="shared" si="13"/>
        <v>0</v>
      </c>
      <c r="Q394" s="115"/>
      <c r="R394" s="115"/>
      <c r="S394" s="115"/>
      <c r="T394" s="115"/>
      <c r="U394" s="115"/>
      <c r="V394" s="115"/>
      <c r="W394" s="115"/>
      <c r="X394" s="115"/>
      <c r="Y394" s="115"/>
      <c r="Z394" s="115"/>
      <c r="AA394" s="115"/>
      <c r="AB394" s="115"/>
    </row>
    <row r="395" spans="1:28" ht="24">
      <c r="A395" s="238">
        <v>40067253</v>
      </c>
      <c r="B395" s="224" t="s">
        <v>582</v>
      </c>
      <c r="C395" s="224" t="s">
        <v>27</v>
      </c>
      <c r="D395" s="236"/>
      <c r="E395" s="101" t="s">
        <v>132</v>
      </c>
      <c r="F395" s="223" t="s">
        <v>709</v>
      </c>
      <c r="G395" s="243" t="s">
        <v>99</v>
      </c>
      <c r="H395" s="101" t="s">
        <v>134</v>
      </c>
      <c r="I395" s="101">
        <v>2024</v>
      </c>
      <c r="J395" s="101">
        <v>14448</v>
      </c>
      <c r="K395" s="146">
        <v>470114</v>
      </c>
      <c r="L395" s="101" t="s">
        <v>226</v>
      </c>
      <c r="M395" s="105" t="s">
        <v>490</v>
      </c>
      <c r="N395" s="115"/>
      <c r="O395" s="115"/>
      <c r="P395" s="115">
        <f t="shared" si="13"/>
        <v>0</v>
      </c>
      <c r="Q395" s="115"/>
      <c r="R395" s="115"/>
      <c r="S395" s="115"/>
      <c r="T395" s="115"/>
      <c r="U395" s="115"/>
      <c r="V395" s="115"/>
      <c r="W395" s="115"/>
      <c r="X395" s="115"/>
      <c r="Y395" s="115"/>
      <c r="Z395" s="115"/>
      <c r="AA395" s="115"/>
      <c r="AB395" s="115"/>
    </row>
    <row r="396" spans="1:28" ht="24">
      <c r="A396" s="238">
        <v>40066900</v>
      </c>
      <c r="B396" s="224" t="s">
        <v>582</v>
      </c>
      <c r="C396" s="224" t="s">
        <v>27</v>
      </c>
      <c r="D396" s="236"/>
      <c r="E396" s="101" t="s">
        <v>132</v>
      </c>
      <c r="F396" s="223" t="s">
        <v>710</v>
      </c>
      <c r="G396" s="243" t="s">
        <v>97</v>
      </c>
      <c r="H396" s="101" t="s">
        <v>134</v>
      </c>
      <c r="I396" s="101">
        <v>2024</v>
      </c>
      <c r="J396" s="101">
        <v>14448</v>
      </c>
      <c r="K396" s="146">
        <v>314299</v>
      </c>
      <c r="L396" s="101" t="s">
        <v>180</v>
      </c>
      <c r="M396" s="105" t="s">
        <v>490</v>
      </c>
      <c r="N396" s="115"/>
      <c r="O396" s="115"/>
      <c r="P396" s="115">
        <f t="shared" si="13"/>
        <v>0</v>
      </c>
      <c r="Q396" s="115"/>
      <c r="R396" s="115"/>
      <c r="S396" s="115"/>
      <c r="T396" s="115"/>
      <c r="U396" s="115"/>
      <c r="V396" s="115"/>
      <c r="W396" s="115"/>
      <c r="X396" s="115"/>
      <c r="Y396" s="115"/>
      <c r="Z396" s="115"/>
      <c r="AA396" s="115"/>
      <c r="AB396" s="115"/>
    </row>
    <row r="397" spans="1:28" ht="24">
      <c r="A397" s="238">
        <v>40067257</v>
      </c>
      <c r="B397" s="224" t="s">
        <v>582</v>
      </c>
      <c r="C397" s="224" t="s">
        <v>27</v>
      </c>
      <c r="D397" s="236"/>
      <c r="E397" s="101" t="s">
        <v>132</v>
      </c>
      <c r="F397" s="223" t="s">
        <v>711</v>
      </c>
      <c r="G397" s="243" t="s">
        <v>92</v>
      </c>
      <c r="H397" s="101" t="s">
        <v>134</v>
      </c>
      <c r="I397" s="101">
        <v>2024</v>
      </c>
      <c r="J397" s="101">
        <v>14448</v>
      </c>
      <c r="K397" s="146">
        <v>744721</v>
      </c>
      <c r="L397" s="101" t="s">
        <v>159</v>
      </c>
      <c r="M397" s="105" t="s">
        <v>490</v>
      </c>
      <c r="N397" s="115"/>
      <c r="O397" s="115"/>
      <c r="P397" s="115">
        <f t="shared" si="13"/>
        <v>0</v>
      </c>
      <c r="Q397" s="115"/>
      <c r="R397" s="115"/>
      <c r="S397" s="115"/>
      <c r="T397" s="115"/>
      <c r="U397" s="115"/>
      <c r="V397" s="115"/>
      <c r="W397" s="115"/>
      <c r="X397" s="115"/>
      <c r="Y397" s="115"/>
      <c r="Z397" s="115"/>
      <c r="AA397" s="115"/>
      <c r="AB397" s="115"/>
    </row>
    <row r="398" spans="1:28" ht="24">
      <c r="A398" s="238">
        <v>40067209</v>
      </c>
      <c r="B398" s="224" t="s">
        <v>582</v>
      </c>
      <c r="C398" s="224" t="s">
        <v>27</v>
      </c>
      <c r="D398" s="236"/>
      <c r="E398" s="101" t="s">
        <v>132</v>
      </c>
      <c r="F398" s="223" t="s">
        <v>712</v>
      </c>
      <c r="G398" s="243" t="s">
        <v>93</v>
      </c>
      <c r="H398" s="101" t="s">
        <v>185</v>
      </c>
      <c r="I398" s="101">
        <v>2024</v>
      </c>
      <c r="J398" s="101">
        <v>14448</v>
      </c>
      <c r="K398" s="146">
        <v>316720</v>
      </c>
      <c r="L398" s="101" t="s">
        <v>162</v>
      </c>
      <c r="M398" s="105" t="s">
        <v>490</v>
      </c>
      <c r="N398" s="115"/>
      <c r="O398" s="115"/>
      <c r="P398" s="115">
        <f t="shared" si="13"/>
        <v>0</v>
      </c>
      <c r="Q398" s="115"/>
      <c r="R398" s="115"/>
      <c r="S398" s="115"/>
      <c r="T398" s="115"/>
      <c r="U398" s="115"/>
      <c r="V398" s="115"/>
      <c r="W398" s="115"/>
      <c r="X398" s="115"/>
      <c r="Y398" s="115"/>
      <c r="Z398" s="115"/>
      <c r="AA398" s="115"/>
      <c r="AB398" s="115"/>
    </row>
    <row r="399" spans="1:28" ht="24">
      <c r="A399" s="238">
        <v>40066931</v>
      </c>
      <c r="B399" s="224" t="s">
        <v>582</v>
      </c>
      <c r="C399" s="224" t="s">
        <v>27</v>
      </c>
      <c r="D399" s="236"/>
      <c r="E399" s="101" t="s">
        <v>132</v>
      </c>
      <c r="F399" s="223" t="s">
        <v>713</v>
      </c>
      <c r="G399" s="243" t="s">
        <v>90</v>
      </c>
      <c r="H399" s="101" t="s">
        <v>134</v>
      </c>
      <c r="I399" s="101">
        <v>2024</v>
      </c>
      <c r="J399" s="101">
        <v>14448</v>
      </c>
      <c r="K399" s="146">
        <v>535988</v>
      </c>
      <c r="L399" s="101" t="s">
        <v>168</v>
      </c>
      <c r="M399" s="105" t="s">
        <v>490</v>
      </c>
      <c r="N399" s="115"/>
      <c r="O399" s="115"/>
      <c r="P399" s="115">
        <f t="shared" si="13"/>
        <v>0</v>
      </c>
      <c r="Q399" s="115"/>
      <c r="R399" s="115"/>
      <c r="S399" s="115"/>
      <c r="T399" s="115"/>
      <c r="U399" s="115"/>
      <c r="V399" s="115"/>
      <c r="W399" s="115"/>
      <c r="X399" s="115"/>
      <c r="Y399" s="115"/>
      <c r="Z399" s="115"/>
      <c r="AA399" s="115"/>
      <c r="AB399" s="115"/>
    </row>
    <row r="400" spans="1:28" ht="24">
      <c r="A400" s="238">
        <v>40067221</v>
      </c>
      <c r="B400" s="224" t="s">
        <v>582</v>
      </c>
      <c r="C400" s="224" t="s">
        <v>27</v>
      </c>
      <c r="D400" s="236"/>
      <c r="E400" s="101" t="s">
        <v>132</v>
      </c>
      <c r="F400" s="223" t="s">
        <v>714</v>
      </c>
      <c r="G400" s="243" t="s">
        <v>83</v>
      </c>
      <c r="H400" s="101" t="s">
        <v>134</v>
      </c>
      <c r="I400" s="101">
        <v>2024</v>
      </c>
      <c r="J400" s="101">
        <v>14448</v>
      </c>
      <c r="K400" s="146">
        <v>256764</v>
      </c>
      <c r="L400" s="101" t="s">
        <v>148</v>
      </c>
      <c r="M400" s="105" t="s">
        <v>490</v>
      </c>
      <c r="N400" s="115"/>
      <c r="O400" s="115"/>
      <c r="P400" s="115">
        <f t="shared" si="13"/>
        <v>0</v>
      </c>
      <c r="Q400" s="115"/>
      <c r="R400" s="115"/>
      <c r="S400" s="115"/>
      <c r="T400" s="115"/>
      <c r="U400" s="115"/>
      <c r="V400" s="115"/>
      <c r="W400" s="115"/>
      <c r="X400" s="115"/>
      <c r="Y400" s="115"/>
      <c r="Z400" s="115"/>
      <c r="AA400" s="115"/>
      <c r="AB400" s="115"/>
    </row>
    <row r="401" spans="1:28" ht="24">
      <c r="A401" s="238">
        <v>40066889</v>
      </c>
      <c r="B401" s="224" t="s">
        <v>582</v>
      </c>
      <c r="C401" s="224" t="s">
        <v>27</v>
      </c>
      <c r="D401" s="236"/>
      <c r="E401" s="101" t="s">
        <v>132</v>
      </c>
      <c r="F401" s="223" t="s">
        <v>715</v>
      </c>
      <c r="G401" s="243" t="s">
        <v>84</v>
      </c>
      <c r="H401" s="101" t="s">
        <v>134</v>
      </c>
      <c r="I401" s="101">
        <v>2024</v>
      </c>
      <c r="J401" s="101">
        <v>14448</v>
      </c>
      <c r="K401" s="146">
        <v>324366</v>
      </c>
      <c r="L401" s="101" t="s">
        <v>157</v>
      </c>
      <c r="M401" s="105" t="s">
        <v>490</v>
      </c>
      <c r="N401" s="115"/>
      <c r="O401" s="115"/>
      <c r="P401" s="115">
        <f t="shared" si="13"/>
        <v>0</v>
      </c>
      <c r="Q401" s="115"/>
      <c r="R401" s="115"/>
      <c r="S401" s="115"/>
      <c r="T401" s="115"/>
      <c r="U401" s="115"/>
      <c r="V401" s="115"/>
      <c r="W401" s="115"/>
      <c r="X401" s="115"/>
      <c r="Y401" s="115"/>
      <c r="Z401" s="115"/>
      <c r="AA401" s="115"/>
      <c r="AB401" s="115"/>
    </row>
    <row r="402" spans="1:28" ht="24">
      <c r="A402" s="238">
        <v>40067196</v>
      </c>
      <c r="B402" s="224" t="s">
        <v>582</v>
      </c>
      <c r="C402" s="224" t="s">
        <v>27</v>
      </c>
      <c r="D402" s="236"/>
      <c r="E402" s="101" t="s">
        <v>132</v>
      </c>
      <c r="F402" s="223" t="s">
        <v>716</v>
      </c>
      <c r="G402" s="243" t="s">
        <v>82</v>
      </c>
      <c r="H402" s="101" t="s">
        <v>134</v>
      </c>
      <c r="I402" s="101">
        <v>2024</v>
      </c>
      <c r="J402" s="101">
        <v>14448</v>
      </c>
      <c r="K402" s="146">
        <v>141677</v>
      </c>
      <c r="L402" s="101" t="s">
        <v>142</v>
      </c>
      <c r="M402" s="105" t="s">
        <v>490</v>
      </c>
      <c r="N402" s="115"/>
      <c r="O402" s="115"/>
      <c r="P402" s="115">
        <f t="shared" si="13"/>
        <v>0</v>
      </c>
      <c r="Q402" s="115"/>
      <c r="R402" s="115"/>
      <c r="S402" s="115"/>
      <c r="T402" s="115"/>
      <c r="U402" s="115"/>
      <c r="V402" s="115"/>
      <c r="W402" s="115"/>
      <c r="X402" s="115"/>
      <c r="Y402" s="115"/>
      <c r="Z402" s="115"/>
      <c r="AA402" s="115"/>
      <c r="AB402" s="115"/>
    </row>
    <row r="403" spans="1:28" ht="36">
      <c r="A403" s="238">
        <v>40056851</v>
      </c>
      <c r="B403" s="224" t="s">
        <v>525</v>
      </c>
      <c r="C403" s="224" t="s">
        <v>38</v>
      </c>
      <c r="D403" s="236"/>
      <c r="E403" s="101" t="s">
        <v>132</v>
      </c>
      <c r="F403" s="223" t="s">
        <v>717</v>
      </c>
      <c r="G403" s="243" t="s">
        <v>103</v>
      </c>
      <c r="H403" s="101" t="s">
        <v>150</v>
      </c>
      <c r="I403" s="101">
        <v>2024</v>
      </c>
      <c r="J403" s="101">
        <v>14472</v>
      </c>
      <c r="K403" s="146">
        <v>830883</v>
      </c>
      <c r="L403" s="101" t="s">
        <v>216</v>
      </c>
      <c r="M403" s="105" t="s">
        <v>340</v>
      </c>
      <c r="N403" s="115"/>
      <c r="O403" s="115">
        <v>50000</v>
      </c>
      <c r="P403" s="115">
        <f t="shared" si="13"/>
        <v>0</v>
      </c>
      <c r="Q403" s="115"/>
      <c r="R403" s="115"/>
      <c r="S403" s="115"/>
      <c r="T403" s="115"/>
      <c r="U403" s="115"/>
      <c r="V403" s="115"/>
      <c r="W403" s="115"/>
      <c r="X403" s="115"/>
      <c r="Y403" s="115"/>
      <c r="Z403" s="115"/>
      <c r="AA403" s="115"/>
      <c r="AB403" s="115"/>
    </row>
    <row r="404" spans="1:28" ht="48">
      <c r="A404" s="238">
        <v>40067457</v>
      </c>
      <c r="B404" s="224" t="s">
        <v>580</v>
      </c>
      <c r="C404" s="224" t="s">
        <v>27</v>
      </c>
      <c r="D404" s="236"/>
      <c r="E404" s="101" t="s">
        <v>132</v>
      </c>
      <c r="F404" s="223" t="s">
        <v>718</v>
      </c>
      <c r="G404" s="243" t="s">
        <v>103</v>
      </c>
      <c r="H404" s="101" t="s">
        <v>150</v>
      </c>
      <c r="I404" s="101">
        <v>2024</v>
      </c>
      <c r="J404" s="101">
        <v>14473</v>
      </c>
      <c r="K404" s="146">
        <v>1921520</v>
      </c>
      <c r="L404" s="101" t="s">
        <v>719</v>
      </c>
      <c r="M404" s="105" t="s">
        <v>720</v>
      </c>
      <c r="N404" s="115"/>
      <c r="O404" s="115"/>
      <c r="P404" s="115">
        <f t="shared" si="13"/>
        <v>0</v>
      </c>
      <c r="Q404" s="115"/>
      <c r="R404" s="115"/>
      <c r="S404" s="115"/>
      <c r="T404" s="115"/>
      <c r="U404" s="115"/>
      <c r="V404" s="115"/>
      <c r="W404" s="115"/>
      <c r="X404" s="115"/>
      <c r="Y404" s="115"/>
      <c r="Z404" s="115"/>
      <c r="AA404" s="115"/>
      <c r="AB404" s="115"/>
    </row>
    <row r="405" spans="1:28" ht="36">
      <c r="A405" s="238">
        <v>40067603</v>
      </c>
      <c r="B405" s="224" t="s">
        <v>525</v>
      </c>
      <c r="C405" s="224" t="s">
        <v>27</v>
      </c>
      <c r="D405" s="236"/>
      <c r="E405" s="101" t="s">
        <v>132</v>
      </c>
      <c r="F405" s="223" t="s">
        <v>721</v>
      </c>
      <c r="G405" s="243" t="s">
        <v>103</v>
      </c>
      <c r="H405" s="101" t="s">
        <v>150</v>
      </c>
      <c r="I405" s="101">
        <v>2024</v>
      </c>
      <c r="J405" s="101">
        <v>14474</v>
      </c>
      <c r="K405" s="146">
        <v>323357</v>
      </c>
      <c r="L405" s="101" t="s">
        <v>387</v>
      </c>
      <c r="M405" s="105" t="s">
        <v>340</v>
      </c>
      <c r="N405" s="115"/>
      <c r="O405" s="115">
        <v>25000</v>
      </c>
      <c r="P405" s="115">
        <f t="shared" si="13"/>
        <v>0</v>
      </c>
      <c r="Q405" s="115"/>
      <c r="R405" s="115"/>
      <c r="S405" s="115"/>
      <c r="T405" s="115"/>
      <c r="U405" s="115"/>
      <c r="V405" s="115"/>
      <c r="W405" s="115"/>
      <c r="X405" s="115"/>
      <c r="Y405" s="115"/>
      <c r="Z405" s="115"/>
      <c r="AA405" s="115"/>
      <c r="AB405" s="115"/>
    </row>
    <row r="406" spans="1:28" ht="24">
      <c r="A406" s="238">
        <v>40060969</v>
      </c>
      <c r="B406" s="224" t="s">
        <v>525</v>
      </c>
      <c r="C406" s="224" t="s">
        <v>27</v>
      </c>
      <c r="D406" s="236"/>
      <c r="E406" s="101" t="s">
        <v>132</v>
      </c>
      <c r="F406" s="223" t="s">
        <v>722</v>
      </c>
      <c r="G406" s="243" t="s">
        <v>83</v>
      </c>
      <c r="H406" s="101" t="s">
        <v>134</v>
      </c>
      <c r="I406" s="101">
        <v>2024</v>
      </c>
      <c r="J406" s="101">
        <v>14475</v>
      </c>
      <c r="K406" s="146">
        <v>355609</v>
      </c>
      <c r="L406" s="101" t="s">
        <v>216</v>
      </c>
      <c r="M406" s="105" t="s">
        <v>490</v>
      </c>
      <c r="N406" s="115">
        <v>1000</v>
      </c>
      <c r="O406" s="115">
        <v>25000</v>
      </c>
      <c r="P406" s="115">
        <f t="shared" si="13"/>
        <v>0</v>
      </c>
      <c r="Q406" s="115"/>
      <c r="R406" s="115"/>
      <c r="S406" s="115"/>
      <c r="T406" s="115"/>
      <c r="U406" s="115"/>
      <c r="V406" s="115"/>
      <c r="W406" s="115"/>
      <c r="X406" s="115"/>
      <c r="Y406" s="115"/>
      <c r="Z406" s="115"/>
      <c r="AA406" s="115"/>
      <c r="AB406" s="115"/>
    </row>
    <row r="407" spans="1:28" ht="36">
      <c r="A407" s="238">
        <v>40058634</v>
      </c>
      <c r="B407" s="224" t="s">
        <v>525</v>
      </c>
      <c r="C407" s="224" t="s">
        <v>38</v>
      </c>
      <c r="D407" s="236"/>
      <c r="E407" s="101" t="s">
        <v>132</v>
      </c>
      <c r="F407" s="223" t="s">
        <v>723</v>
      </c>
      <c r="G407" s="243" t="s">
        <v>100</v>
      </c>
      <c r="H407" s="101" t="s">
        <v>150</v>
      </c>
      <c r="I407" s="101">
        <v>2024</v>
      </c>
      <c r="J407" s="101">
        <v>14476</v>
      </c>
      <c r="K407" s="146">
        <v>42338</v>
      </c>
      <c r="L407" s="101" t="s">
        <v>216</v>
      </c>
      <c r="M407" s="105" t="s">
        <v>340</v>
      </c>
      <c r="N407" s="115">
        <v>1000</v>
      </c>
      <c r="O407" s="115">
        <v>44115</v>
      </c>
      <c r="P407" s="115">
        <f t="shared" si="13"/>
        <v>0</v>
      </c>
      <c r="Q407" s="115"/>
      <c r="R407" s="115"/>
      <c r="S407" s="115"/>
      <c r="T407" s="115"/>
      <c r="U407" s="115"/>
      <c r="V407" s="115"/>
      <c r="W407" s="115"/>
      <c r="X407" s="115"/>
      <c r="Y407" s="115"/>
      <c r="Z407" s="115"/>
      <c r="AA407" s="115"/>
      <c r="AB407" s="115"/>
    </row>
    <row r="408" spans="1:28" ht="36">
      <c r="A408" s="238">
        <v>40038253</v>
      </c>
      <c r="B408" s="224" t="s">
        <v>525</v>
      </c>
      <c r="C408" s="224" t="s">
        <v>27</v>
      </c>
      <c r="D408" s="236"/>
      <c r="E408" s="101" t="s">
        <v>132</v>
      </c>
      <c r="F408" s="223" t="s">
        <v>724</v>
      </c>
      <c r="G408" s="243" t="s">
        <v>82</v>
      </c>
      <c r="H408" s="101" t="s">
        <v>147</v>
      </c>
      <c r="I408" s="101">
        <v>2024</v>
      </c>
      <c r="J408" s="101">
        <v>14484</v>
      </c>
      <c r="K408" s="146">
        <v>107100</v>
      </c>
      <c r="L408" s="101" t="s">
        <v>142</v>
      </c>
      <c r="M408" s="105" t="s">
        <v>268</v>
      </c>
      <c r="N408" s="115">
        <v>1000</v>
      </c>
      <c r="O408" s="115">
        <v>25000</v>
      </c>
      <c r="P408" s="115">
        <f t="shared" si="13"/>
        <v>0</v>
      </c>
      <c r="Q408" s="115"/>
      <c r="R408" s="115"/>
      <c r="S408" s="115"/>
      <c r="T408" s="115"/>
      <c r="U408" s="115"/>
      <c r="V408" s="115"/>
      <c r="W408" s="115"/>
      <c r="X408" s="115"/>
      <c r="Y408" s="115"/>
      <c r="Z408" s="115"/>
      <c r="AA408" s="115"/>
      <c r="AB408" s="115"/>
    </row>
    <row r="409" spans="1:28" ht="24">
      <c r="A409" s="238">
        <v>40067228</v>
      </c>
      <c r="B409" s="224" t="s">
        <v>582</v>
      </c>
      <c r="C409" s="224" t="s">
        <v>27</v>
      </c>
      <c r="D409" s="236"/>
      <c r="E409" s="101" t="s">
        <v>132</v>
      </c>
      <c r="F409" s="223" t="s">
        <v>725</v>
      </c>
      <c r="G409" s="243" t="s">
        <v>85</v>
      </c>
      <c r="H409" s="101" t="s">
        <v>185</v>
      </c>
      <c r="I409" s="101">
        <v>2024</v>
      </c>
      <c r="J409" s="101">
        <v>14486</v>
      </c>
      <c r="K409" s="146">
        <v>123483</v>
      </c>
      <c r="L409" s="101" t="s">
        <v>236</v>
      </c>
      <c r="M409" s="105" t="s">
        <v>490</v>
      </c>
      <c r="N409" s="115"/>
      <c r="O409" s="115"/>
      <c r="P409" s="115">
        <f t="shared" si="13"/>
        <v>0</v>
      </c>
      <c r="Q409" s="115"/>
      <c r="R409" s="115"/>
      <c r="S409" s="115"/>
      <c r="T409" s="115"/>
      <c r="U409" s="115"/>
      <c r="V409" s="115"/>
      <c r="W409" s="115"/>
      <c r="X409" s="115"/>
      <c r="Y409" s="115"/>
      <c r="Z409" s="115"/>
      <c r="AA409" s="115"/>
      <c r="AB409" s="115"/>
    </row>
    <row r="410" spans="1:28" ht="24">
      <c r="A410" s="238">
        <v>40067389</v>
      </c>
      <c r="B410" s="224" t="s">
        <v>582</v>
      </c>
      <c r="C410" s="224" t="s">
        <v>27</v>
      </c>
      <c r="D410" s="236"/>
      <c r="E410" s="101" t="s">
        <v>132</v>
      </c>
      <c r="F410" s="223" t="s">
        <v>726</v>
      </c>
      <c r="G410" s="243" t="s">
        <v>86</v>
      </c>
      <c r="H410" s="101" t="s">
        <v>185</v>
      </c>
      <c r="I410" s="101">
        <v>2024</v>
      </c>
      <c r="J410" s="101">
        <v>14486</v>
      </c>
      <c r="K410" s="146">
        <v>109963</v>
      </c>
      <c r="L410" s="101" t="s">
        <v>195</v>
      </c>
      <c r="M410" s="105" t="s">
        <v>490</v>
      </c>
      <c r="N410" s="115"/>
      <c r="O410" s="115"/>
      <c r="P410" s="115">
        <f t="shared" si="13"/>
        <v>0</v>
      </c>
      <c r="Q410" s="115"/>
      <c r="R410" s="115"/>
      <c r="S410" s="115"/>
      <c r="T410" s="115"/>
      <c r="U410" s="115"/>
      <c r="V410" s="115"/>
      <c r="W410" s="115"/>
      <c r="X410" s="115"/>
      <c r="Y410" s="115"/>
      <c r="Z410" s="115"/>
      <c r="AA410" s="115"/>
      <c r="AB410" s="115"/>
    </row>
    <row r="411" spans="1:28" ht="24">
      <c r="A411" s="238">
        <v>40067051</v>
      </c>
      <c r="B411" s="224" t="s">
        <v>582</v>
      </c>
      <c r="C411" s="224" t="s">
        <v>27</v>
      </c>
      <c r="D411" s="236"/>
      <c r="E411" s="101" t="s">
        <v>132</v>
      </c>
      <c r="F411" s="223" t="s">
        <v>727</v>
      </c>
      <c r="G411" s="243" t="s">
        <v>87</v>
      </c>
      <c r="H411" s="101" t="s">
        <v>134</v>
      </c>
      <c r="I411" s="101">
        <v>2024</v>
      </c>
      <c r="J411" s="101">
        <v>14486</v>
      </c>
      <c r="K411" s="146">
        <v>318968</v>
      </c>
      <c r="L411" s="101" t="s">
        <v>223</v>
      </c>
      <c r="M411" s="105" t="s">
        <v>490</v>
      </c>
      <c r="N411" s="115"/>
      <c r="O411" s="115"/>
      <c r="P411" s="115">
        <f t="shared" si="13"/>
        <v>0</v>
      </c>
      <c r="Q411" s="115"/>
      <c r="R411" s="115"/>
      <c r="S411" s="115"/>
      <c r="T411" s="115"/>
      <c r="U411" s="115"/>
      <c r="V411" s="115"/>
      <c r="W411" s="115"/>
      <c r="X411" s="115"/>
      <c r="Y411" s="115"/>
      <c r="Z411" s="115"/>
      <c r="AA411" s="115"/>
      <c r="AB411" s="115"/>
    </row>
    <row r="412" spans="1:28" ht="24">
      <c r="A412" s="238">
        <v>40067083</v>
      </c>
      <c r="B412" s="224" t="s">
        <v>582</v>
      </c>
      <c r="C412" s="224" t="s">
        <v>27</v>
      </c>
      <c r="D412" s="236"/>
      <c r="E412" s="101" t="s">
        <v>132</v>
      </c>
      <c r="F412" s="223" t="s">
        <v>728</v>
      </c>
      <c r="G412" s="243" t="s">
        <v>91</v>
      </c>
      <c r="H412" s="101" t="s">
        <v>134</v>
      </c>
      <c r="I412" s="101">
        <v>2024</v>
      </c>
      <c r="J412" s="101">
        <v>14486</v>
      </c>
      <c r="K412" s="146">
        <v>522828</v>
      </c>
      <c r="L412" s="101" t="s">
        <v>138</v>
      </c>
      <c r="M412" s="105" t="s">
        <v>490</v>
      </c>
      <c r="N412" s="115"/>
      <c r="O412" s="115"/>
      <c r="P412" s="115">
        <f t="shared" si="13"/>
        <v>0</v>
      </c>
      <c r="Q412" s="115"/>
      <c r="R412" s="115"/>
      <c r="S412" s="115"/>
      <c r="T412" s="115"/>
      <c r="U412" s="115"/>
      <c r="V412" s="115"/>
      <c r="W412" s="115"/>
      <c r="X412" s="115"/>
      <c r="Y412" s="115"/>
      <c r="Z412" s="115"/>
      <c r="AA412" s="115"/>
      <c r="AB412" s="115"/>
    </row>
    <row r="413" spans="1:28" ht="24">
      <c r="A413" s="238">
        <v>40067477</v>
      </c>
      <c r="B413" s="224" t="s">
        <v>582</v>
      </c>
      <c r="C413" s="224" t="s">
        <v>27</v>
      </c>
      <c r="D413" s="236"/>
      <c r="E413" s="101" t="s">
        <v>132</v>
      </c>
      <c r="F413" s="223" t="s">
        <v>729</v>
      </c>
      <c r="G413" s="243" t="s">
        <v>94</v>
      </c>
      <c r="H413" s="101" t="s">
        <v>134</v>
      </c>
      <c r="I413" s="101">
        <v>2024</v>
      </c>
      <c r="J413" s="101">
        <v>14486</v>
      </c>
      <c r="K413" s="146">
        <v>177138</v>
      </c>
      <c r="L413" s="101" t="s">
        <v>220</v>
      </c>
      <c r="M413" s="105" t="s">
        <v>490</v>
      </c>
      <c r="N413" s="115"/>
      <c r="O413" s="115"/>
      <c r="P413" s="115">
        <f t="shared" si="13"/>
        <v>0</v>
      </c>
      <c r="Q413" s="115"/>
      <c r="R413" s="115"/>
      <c r="S413" s="115"/>
      <c r="T413" s="115"/>
      <c r="U413" s="115"/>
      <c r="V413" s="115"/>
      <c r="W413" s="115"/>
      <c r="X413" s="115"/>
      <c r="Y413" s="115"/>
      <c r="Z413" s="115"/>
      <c r="AA413" s="115"/>
      <c r="AB413" s="115"/>
    </row>
    <row r="414" spans="1:28" ht="24">
      <c r="A414" s="238">
        <v>40067216</v>
      </c>
      <c r="B414" s="224" t="s">
        <v>582</v>
      </c>
      <c r="C414" s="224" t="s">
        <v>27</v>
      </c>
      <c r="D414" s="236"/>
      <c r="E414" s="101" t="s">
        <v>132</v>
      </c>
      <c r="F414" s="223" t="s">
        <v>730</v>
      </c>
      <c r="G414" s="243" t="s">
        <v>98</v>
      </c>
      <c r="H414" s="101" t="s">
        <v>134</v>
      </c>
      <c r="I414" s="101">
        <v>2024</v>
      </c>
      <c r="J414" s="101">
        <v>14486</v>
      </c>
      <c r="K414" s="146">
        <v>270759</v>
      </c>
      <c r="L414" s="101" t="s">
        <v>151</v>
      </c>
      <c r="M414" s="105" t="s">
        <v>490</v>
      </c>
      <c r="N414" s="115"/>
      <c r="O414" s="115"/>
      <c r="P414" s="115">
        <f t="shared" si="13"/>
        <v>0</v>
      </c>
      <c r="Q414" s="115"/>
      <c r="R414" s="115"/>
      <c r="S414" s="115"/>
      <c r="T414" s="115"/>
      <c r="U414" s="115"/>
      <c r="V414" s="115"/>
      <c r="W414" s="115"/>
      <c r="X414" s="115"/>
      <c r="Y414" s="115"/>
      <c r="Z414" s="115"/>
      <c r="AA414" s="115"/>
      <c r="AB414" s="115"/>
    </row>
    <row r="415" spans="1:28" ht="24">
      <c r="A415" s="238">
        <v>40067208</v>
      </c>
      <c r="B415" s="224" t="s">
        <v>582</v>
      </c>
      <c r="C415" s="224" t="s">
        <v>27</v>
      </c>
      <c r="D415" s="224"/>
      <c r="E415" s="101" t="s">
        <v>132</v>
      </c>
      <c r="F415" s="223" t="s">
        <v>731</v>
      </c>
      <c r="G415" s="243" t="s">
        <v>100</v>
      </c>
      <c r="H415" s="101" t="s">
        <v>134</v>
      </c>
      <c r="I415" s="101">
        <v>2024</v>
      </c>
      <c r="J415" s="101">
        <v>14486</v>
      </c>
      <c r="K415" s="146">
        <v>401823</v>
      </c>
      <c r="L415" s="101" t="s">
        <v>199</v>
      </c>
      <c r="M415" s="105" t="s">
        <v>490</v>
      </c>
      <c r="N415" s="115"/>
      <c r="O415" s="115"/>
      <c r="P415" s="115">
        <f t="shared" si="13"/>
        <v>0</v>
      </c>
      <c r="Q415" s="115"/>
      <c r="R415" s="115"/>
      <c r="S415" s="115"/>
      <c r="T415" s="115"/>
      <c r="U415" s="115"/>
      <c r="V415" s="115"/>
      <c r="W415" s="115"/>
      <c r="X415" s="115"/>
      <c r="Y415" s="115"/>
      <c r="Z415" s="115"/>
      <c r="AA415" s="115"/>
      <c r="AB415" s="115"/>
    </row>
    <row r="416" spans="1:28" ht="36">
      <c r="A416" s="238" t="s">
        <v>705</v>
      </c>
      <c r="B416" s="224" t="s">
        <v>582</v>
      </c>
      <c r="C416" s="224" t="s">
        <v>27</v>
      </c>
      <c r="D416" s="224"/>
      <c r="E416" s="101" t="s">
        <v>132</v>
      </c>
      <c r="F416" s="223" t="s">
        <v>732</v>
      </c>
      <c r="G416" s="243" t="s">
        <v>103</v>
      </c>
      <c r="H416" s="101" t="s">
        <v>134</v>
      </c>
      <c r="I416" s="101">
        <v>2024</v>
      </c>
      <c r="J416" s="101">
        <v>14487</v>
      </c>
      <c r="K416" s="146">
        <v>200000</v>
      </c>
      <c r="L416" s="101" t="s">
        <v>733</v>
      </c>
      <c r="M416" s="105" t="s">
        <v>734</v>
      </c>
      <c r="N416" s="115"/>
      <c r="O416" s="115"/>
      <c r="P416" s="115">
        <f t="shared" si="13"/>
        <v>0</v>
      </c>
      <c r="Q416" s="115"/>
      <c r="R416" s="115"/>
      <c r="S416" s="115"/>
      <c r="T416" s="115"/>
      <c r="U416" s="115"/>
      <c r="V416" s="115"/>
      <c r="W416" s="115"/>
      <c r="X416" s="115"/>
      <c r="Y416" s="115"/>
      <c r="Z416" s="115"/>
      <c r="AA416" s="115"/>
      <c r="AB416" s="115"/>
    </row>
    <row r="417" spans="1:28" ht="36">
      <c r="A417" s="238">
        <v>30269622</v>
      </c>
      <c r="B417" s="224" t="s">
        <v>568</v>
      </c>
      <c r="C417" s="224" t="s">
        <v>30</v>
      </c>
      <c r="D417" s="224"/>
      <c r="E417" s="101" t="s">
        <v>132</v>
      </c>
      <c r="F417" s="223" t="s">
        <v>735</v>
      </c>
      <c r="G417" s="243" t="s">
        <v>98</v>
      </c>
      <c r="H417" s="101" t="s">
        <v>213</v>
      </c>
      <c r="I417" s="101">
        <v>2024</v>
      </c>
      <c r="J417" s="101">
        <v>14495</v>
      </c>
      <c r="K417" s="146">
        <v>1099718</v>
      </c>
      <c r="L417" s="101" t="s">
        <v>151</v>
      </c>
      <c r="M417" s="105" t="s">
        <v>268</v>
      </c>
      <c r="N417" s="115">
        <v>109971.8</v>
      </c>
      <c r="O417" s="115">
        <v>57800</v>
      </c>
      <c r="P417" s="115">
        <f t="shared" si="13"/>
        <v>0</v>
      </c>
      <c r="Q417" s="115"/>
      <c r="R417" s="115"/>
      <c r="S417" s="115"/>
      <c r="T417" s="115"/>
      <c r="U417" s="115"/>
      <c r="V417" s="115"/>
      <c r="W417" s="115"/>
      <c r="X417" s="115"/>
      <c r="Y417" s="115"/>
      <c r="Z417" s="115"/>
      <c r="AA417" s="115"/>
      <c r="AB417" s="115"/>
    </row>
    <row r="418" spans="1:28" ht="36">
      <c r="A418" s="259" t="s">
        <v>705</v>
      </c>
      <c r="B418" s="238">
        <v>33</v>
      </c>
      <c r="C418" s="224" t="s">
        <v>27</v>
      </c>
      <c r="D418" s="224"/>
      <c r="E418" s="101" t="s">
        <v>132</v>
      </c>
      <c r="F418" s="249" t="s">
        <v>736</v>
      </c>
      <c r="G418" s="243" t="s">
        <v>103</v>
      </c>
      <c r="H418" s="101" t="s">
        <v>141</v>
      </c>
      <c r="I418" s="101">
        <v>2024</v>
      </c>
      <c r="J418" s="101">
        <v>14524</v>
      </c>
      <c r="K418" s="146">
        <v>2044555.3859999999</v>
      </c>
      <c r="L418" s="101" t="s">
        <v>489</v>
      </c>
      <c r="M418" s="105" t="s">
        <v>490</v>
      </c>
      <c r="N418" s="115"/>
      <c r="O418" s="115"/>
      <c r="P418" s="115">
        <f t="shared" si="13"/>
        <v>0</v>
      </c>
      <c r="Q418" s="115"/>
      <c r="R418" s="115"/>
      <c r="S418" s="115"/>
      <c r="T418" s="115"/>
      <c r="U418" s="115"/>
      <c r="V418" s="115"/>
      <c r="W418" s="115"/>
      <c r="X418" s="115"/>
      <c r="Y418" s="115"/>
      <c r="Z418" s="115"/>
      <c r="AA418" s="115"/>
      <c r="AB418" s="115"/>
    </row>
    <row r="419" spans="1:28" ht="36">
      <c r="A419" s="238">
        <v>40067843</v>
      </c>
      <c r="B419" s="238">
        <v>33</v>
      </c>
      <c r="C419" s="224" t="s">
        <v>27</v>
      </c>
      <c r="D419" s="224"/>
      <c r="E419" s="101" t="s">
        <v>132</v>
      </c>
      <c r="F419" s="249" t="s">
        <v>737</v>
      </c>
      <c r="G419" s="243" t="s">
        <v>103</v>
      </c>
      <c r="H419" s="101" t="s">
        <v>310</v>
      </c>
      <c r="I419" s="101">
        <v>2024</v>
      </c>
      <c r="J419" s="101">
        <v>14528</v>
      </c>
      <c r="K419" s="146">
        <v>453037</v>
      </c>
      <c r="L419" s="101" t="s">
        <v>738</v>
      </c>
      <c r="M419" s="105" t="s">
        <v>739</v>
      </c>
      <c r="N419" s="115"/>
      <c r="O419" s="115"/>
      <c r="P419" s="115">
        <f t="shared" si="13"/>
        <v>0</v>
      </c>
      <c r="Q419" s="115"/>
      <c r="R419" s="115"/>
      <c r="S419" s="115"/>
      <c r="T419" s="115"/>
      <c r="U419" s="115"/>
      <c r="V419" s="115"/>
      <c r="W419" s="115"/>
      <c r="X419" s="115"/>
      <c r="Y419" s="115"/>
      <c r="Z419" s="115"/>
      <c r="AA419" s="115"/>
      <c r="AB419" s="115"/>
    </row>
    <row r="420" spans="1:28" ht="36">
      <c r="A420" s="259">
        <v>40067330</v>
      </c>
      <c r="B420" s="224" t="s">
        <v>525</v>
      </c>
      <c r="C420" s="224" t="s">
        <v>27</v>
      </c>
      <c r="D420" s="224"/>
      <c r="E420" s="101" t="s">
        <v>132</v>
      </c>
      <c r="F420" s="249" t="s">
        <v>740</v>
      </c>
      <c r="G420" s="243" t="s">
        <v>103</v>
      </c>
      <c r="H420" s="101" t="s">
        <v>150</v>
      </c>
      <c r="I420" s="101">
        <v>2024</v>
      </c>
      <c r="J420" s="101">
        <v>14499</v>
      </c>
      <c r="K420" s="146">
        <v>180476</v>
      </c>
      <c r="L420" s="101" t="s">
        <v>387</v>
      </c>
      <c r="M420" s="105" t="s">
        <v>340</v>
      </c>
      <c r="N420" s="115"/>
      <c r="O420" s="115">
        <v>50000</v>
      </c>
      <c r="P420" s="115">
        <f t="shared" si="13"/>
        <v>0</v>
      </c>
      <c r="Q420" s="115"/>
      <c r="R420" s="115"/>
      <c r="S420" s="115"/>
      <c r="T420" s="115"/>
      <c r="U420" s="115"/>
      <c r="V420" s="115"/>
      <c r="W420" s="115"/>
      <c r="X420" s="115"/>
      <c r="Y420" s="115"/>
      <c r="Z420" s="115"/>
      <c r="AA420" s="115"/>
      <c r="AB420" s="115"/>
    </row>
    <row r="421" spans="1:28" ht="24">
      <c r="A421" s="259">
        <v>40066379</v>
      </c>
      <c r="B421" s="224" t="s">
        <v>525</v>
      </c>
      <c r="C421" s="224" t="s">
        <v>27</v>
      </c>
      <c r="D421" s="224"/>
      <c r="E421" s="101" t="s">
        <v>132</v>
      </c>
      <c r="F421" s="249" t="s">
        <v>741</v>
      </c>
      <c r="G421" s="243" t="s">
        <v>103</v>
      </c>
      <c r="H421" s="101" t="s">
        <v>144</v>
      </c>
      <c r="I421" s="101">
        <v>2024</v>
      </c>
      <c r="J421" s="101">
        <v>14499</v>
      </c>
      <c r="K421" s="146">
        <v>531460</v>
      </c>
      <c r="L421" s="101" t="s">
        <v>216</v>
      </c>
      <c r="M421" s="105" t="s">
        <v>340</v>
      </c>
      <c r="N421" s="115">
        <v>1000</v>
      </c>
      <c r="O421" s="115">
        <v>25000</v>
      </c>
      <c r="P421" s="115">
        <f t="shared" si="13"/>
        <v>0</v>
      </c>
      <c r="Q421" s="115"/>
      <c r="R421" s="115"/>
      <c r="S421" s="115"/>
      <c r="T421" s="115"/>
      <c r="U421" s="115"/>
      <c r="V421" s="115"/>
      <c r="W421" s="115"/>
      <c r="X421" s="115"/>
      <c r="Y421" s="115"/>
      <c r="Z421" s="115"/>
      <c r="AA421" s="115"/>
      <c r="AB421" s="115"/>
    </row>
    <row r="422" spans="1:28" ht="24">
      <c r="A422" s="259">
        <v>40064628</v>
      </c>
      <c r="B422" s="224" t="s">
        <v>525</v>
      </c>
      <c r="C422" s="224" t="s">
        <v>38</v>
      </c>
      <c r="D422" s="224"/>
      <c r="E422" s="101" t="s">
        <v>132</v>
      </c>
      <c r="F422" s="249" t="s">
        <v>742</v>
      </c>
      <c r="G422" s="243" t="s">
        <v>103</v>
      </c>
      <c r="H422" s="101" t="s">
        <v>144</v>
      </c>
      <c r="I422" s="101">
        <v>2024</v>
      </c>
      <c r="J422" s="101">
        <v>14499</v>
      </c>
      <c r="K422" s="146">
        <v>431639</v>
      </c>
      <c r="L422" s="101" t="s">
        <v>216</v>
      </c>
      <c r="M422" s="105" t="s">
        <v>490</v>
      </c>
      <c r="N422" s="115">
        <v>1000</v>
      </c>
      <c r="O422" s="115">
        <v>25000</v>
      </c>
      <c r="P422" s="115">
        <f t="shared" si="13"/>
        <v>0</v>
      </c>
      <c r="Q422" s="115"/>
      <c r="R422" s="115"/>
      <c r="S422" s="115"/>
      <c r="T422" s="115"/>
      <c r="U422" s="115"/>
      <c r="V422" s="115"/>
      <c r="W422" s="115"/>
      <c r="X422" s="115"/>
      <c r="Y422" s="115"/>
      <c r="Z422" s="115"/>
      <c r="AA422" s="115"/>
      <c r="AB422" s="115"/>
    </row>
    <row r="423" spans="1:28" ht="36">
      <c r="A423" s="259">
        <v>40067878</v>
      </c>
      <c r="B423" s="224" t="s">
        <v>525</v>
      </c>
      <c r="C423" s="224" t="s">
        <v>38</v>
      </c>
      <c r="D423" s="224"/>
      <c r="E423" s="101" t="s">
        <v>132</v>
      </c>
      <c r="F423" s="249" t="s">
        <v>743</v>
      </c>
      <c r="G423" s="243" t="s">
        <v>103</v>
      </c>
      <c r="H423" s="101" t="s">
        <v>255</v>
      </c>
      <c r="I423" s="101">
        <v>2024</v>
      </c>
      <c r="J423" s="101">
        <v>14499</v>
      </c>
      <c r="K423" s="146">
        <v>6900674</v>
      </c>
      <c r="L423" s="101" t="s">
        <v>387</v>
      </c>
      <c r="M423" s="105" t="s">
        <v>171</v>
      </c>
      <c r="N423" s="115">
        <v>1000</v>
      </c>
      <c r="O423" s="115"/>
      <c r="P423" s="115">
        <f t="shared" si="13"/>
        <v>0</v>
      </c>
      <c r="Q423" s="115"/>
      <c r="R423" s="115"/>
      <c r="S423" s="115"/>
      <c r="T423" s="115"/>
      <c r="U423" s="115"/>
      <c r="V423" s="115"/>
      <c r="W423" s="115"/>
      <c r="X423" s="115"/>
      <c r="Y423" s="115"/>
      <c r="Z423" s="115"/>
      <c r="AA423" s="115"/>
      <c r="AB423" s="115"/>
    </row>
    <row r="424" spans="1:28" ht="48">
      <c r="A424" s="259" t="s">
        <v>705</v>
      </c>
      <c r="B424" s="224" t="s">
        <v>525</v>
      </c>
      <c r="C424" s="224" t="s">
        <v>38</v>
      </c>
      <c r="D424" s="224"/>
      <c r="E424" s="101" t="s">
        <v>132</v>
      </c>
      <c r="F424" s="249" t="s">
        <v>744</v>
      </c>
      <c r="G424" s="243" t="s">
        <v>103</v>
      </c>
      <c r="H424" s="101" t="s">
        <v>150</v>
      </c>
      <c r="I424" s="101">
        <v>2024</v>
      </c>
      <c r="J424" s="101">
        <v>14471</v>
      </c>
      <c r="K424" s="146">
        <v>1384990</v>
      </c>
      <c r="L424" s="101" t="s">
        <v>745</v>
      </c>
      <c r="M424" s="105" t="s">
        <v>746</v>
      </c>
      <c r="N424" s="115"/>
      <c r="O424" s="115"/>
      <c r="P424" s="115">
        <f t="shared" si="13"/>
        <v>0</v>
      </c>
      <c r="Q424" s="115"/>
      <c r="R424" s="115"/>
      <c r="S424" s="115"/>
      <c r="T424" s="115"/>
      <c r="U424" s="115"/>
      <c r="V424" s="115"/>
      <c r="W424" s="115"/>
      <c r="X424" s="115"/>
      <c r="Y424" s="115"/>
      <c r="Z424" s="115"/>
      <c r="AA424" s="115"/>
      <c r="AB424" s="115"/>
    </row>
    <row r="425" spans="1:28" ht="36">
      <c r="A425" s="259">
        <v>40032634</v>
      </c>
      <c r="B425" s="224" t="s">
        <v>568</v>
      </c>
      <c r="C425" s="224" t="s">
        <v>30</v>
      </c>
      <c r="D425" s="224"/>
      <c r="E425" s="101" t="s">
        <v>132</v>
      </c>
      <c r="F425" s="249" t="s">
        <v>747</v>
      </c>
      <c r="G425" s="243" t="s">
        <v>90</v>
      </c>
      <c r="H425" s="101" t="s">
        <v>141</v>
      </c>
      <c r="I425" s="101">
        <v>2024</v>
      </c>
      <c r="J425" s="101">
        <v>14556</v>
      </c>
      <c r="K425" s="146">
        <v>1008566</v>
      </c>
      <c r="L425" s="101" t="s">
        <v>489</v>
      </c>
      <c r="M425" s="105" t="s">
        <v>340</v>
      </c>
      <c r="N425" s="115">
        <v>100856.6</v>
      </c>
      <c r="O425" s="115">
        <v>212573</v>
      </c>
      <c r="P425" s="115">
        <f t="shared" si="13"/>
        <v>0</v>
      </c>
      <c r="Q425" s="115"/>
      <c r="R425" s="115"/>
      <c r="S425" s="115"/>
      <c r="T425" s="115"/>
      <c r="U425" s="115"/>
      <c r="V425" s="115"/>
      <c r="W425" s="115"/>
      <c r="X425" s="115"/>
      <c r="Y425" s="115"/>
      <c r="Z425" s="115"/>
      <c r="AA425" s="115"/>
      <c r="AB425" s="115"/>
    </row>
    <row r="426" spans="1:28" ht="36">
      <c r="A426" s="259">
        <v>40055683</v>
      </c>
      <c r="B426" s="224" t="s">
        <v>525</v>
      </c>
      <c r="C426" s="224" t="s">
        <v>38</v>
      </c>
      <c r="D426" s="224"/>
      <c r="E426" s="101" t="s">
        <v>132</v>
      </c>
      <c r="F426" s="249" t="s">
        <v>748</v>
      </c>
      <c r="G426" s="243" t="s">
        <v>103</v>
      </c>
      <c r="H426" s="101" t="s">
        <v>255</v>
      </c>
      <c r="I426" s="101">
        <v>2024</v>
      </c>
      <c r="J426" s="101">
        <v>14533</v>
      </c>
      <c r="K426" s="146">
        <v>255167</v>
      </c>
      <c r="L426" s="101" t="s">
        <v>216</v>
      </c>
      <c r="M426" s="105" t="s">
        <v>490</v>
      </c>
      <c r="N426" s="115">
        <v>1000</v>
      </c>
      <c r="O426" s="115">
        <v>25000</v>
      </c>
      <c r="P426" s="115">
        <f t="shared" si="13"/>
        <v>0</v>
      </c>
      <c r="Q426" s="115"/>
      <c r="R426" s="115"/>
      <c r="S426" s="115"/>
      <c r="T426" s="115"/>
      <c r="U426" s="115"/>
      <c r="V426" s="115"/>
      <c r="W426" s="115"/>
      <c r="X426" s="115"/>
      <c r="Y426" s="115"/>
      <c r="Z426" s="115"/>
      <c r="AA426" s="115"/>
      <c r="AB426" s="115"/>
    </row>
    <row r="427" spans="1:28" ht="36">
      <c r="A427" s="259">
        <v>40063738</v>
      </c>
      <c r="B427" s="224" t="s">
        <v>525</v>
      </c>
      <c r="C427" s="224" t="s">
        <v>38</v>
      </c>
      <c r="D427" s="224"/>
      <c r="E427" s="101" t="s">
        <v>132</v>
      </c>
      <c r="F427" s="249" t="s">
        <v>749</v>
      </c>
      <c r="G427" s="243" t="s">
        <v>84</v>
      </c>
      <c r="H427" s="101" t="s">
        <v>147</v>
      </c>
      <c r="I427" s="101">
        <v>2024</v>
      </c>
      <c r="J427" s="101">
        <v>14578</v>
      </c>
      <c r="K427" s="146">
        <v>1207255</v>
      </c>
      <c r="L427" s="101" t="s">
        <v>216</v>
      </c>
      <c r="M427" s="105" t="s">
        <v>340</v>
      </c>
      <c r="N427" s="115">
        <v>1000</v>
      </c>
      <c r="O427" s="115">
        <v>25000</v>
      </c>
      <c r="P427" s="115">
        <f t="shared" si="13"/>
        <v>0</v>
      </c>
      <c r="Q427" s="115"/>
      <c r="R427" s="115"/>
      <c r="S427" s="115"/>
      <c r="T427" s="115"/>
      <c r="U427" s="115"/>
      <c r="V427" s="115"/>
      <c r="W427" s="115"/>
      <c r="X427" s="115"/>
      <c r="Y427" s="115"/>
      <c r="Z427" s="115"/>
      <c r="AA427" s="115"/>
      <c r="AB427" s="115"/>
    </row>
    <row r="428" spans="1:28" ht="36">
      <c r="A428" s="259">
        <v>40059107</v>
      </c>
      <c r="B428" s="224" t="s">
        <v>525</v>
      </c>
      <c r="C428" s="224" t="s">
        <v>27</v>
      </c>
      <c r="D428" s="224"/>
      <c r="E428" s="101" t="s">
        <v>132</v>
      </c>
      <c r="F428" s="249" t="s">
        <v>750</v>
      </c>
      <c r="G428" s="243" t="s">
        <v>100</v>
      </c>
      <c r="H428" s="101" t="s">
        <v>134</v>
      </c>
      <c r="I428" s="101">
        <v>2024</v>
      </c>
      <c r="J428" s="101">
        <v>14604</v>
      </c>
      <c r="K428" s="146">
        <v>1028421</v>
      </c>
      <c r="L428" s="101" t="s">
        <v>216</v>
      </c>
      <c r="M428" s="105" t="s">
        <v>340</v>
      </c>
      <c r="N428" s="115">
        <v>1000</v>
      </c>
      <c r="O428" s="115">
        <v>100000</v>
      </c>
      <c r="P428" s="115">
        <f t="shared" si="13"/>
        <v>0</v>
      </c>
      <c r="Q428" s="115"/>
      <c r="R428" s="115"/>
      <c r="S428" s="115"/>
      <c r="T428" s="115"/>
      <c r="U428" s="115"/>
      <c r="V428" s="115"/>
      <c r="W428" s="115"/>
      <c r="X428" s="115"/>
      <c r="Y428" s="115"/>
      <c r="Z428" s="115"/>
      <c r="AA428" s="115"/>
      <c r="AB428" s="115"/>
    </row>
    <row r="429" spans="1:28" ht="36">
      <c r="A429" s="259">
        <v>40068384</v>
      </c>
      <c r="B429" s="224" t="s">
        <v>525</v>
      </c>
      <c r="C429" s="224" t="s">
        <v>38</v>
      </c>
      <c r="D429" s="224"/>
      <c r="E429" s="101" t="s">
        <v>132</v>
      </c>
      <c r="F429" s="249" t="s">
        <v>751</v>
      </c>
      <c r="G429" s="243" t="s">
        <v>103</v>
      </c>
      <c r="H429" s="101" t="s">
        <v>150</v>
      </c>
      <c r="I429" s="101">
        <v>2024</v>
      </c>
      <c r="J429" s="101">
        <v>14596</v>
      </c>
      <c r="K429" s="146">
        <v>273208</v>
      </c>
      <c r="L429" s="101" t="s">
        <v>216</v>
      </c>
      <c r="M429" s="105" t="s">
        <v>490</v>
      </c>
      <c r="N429" s="115">
        <v>1000</v>
      </c>
      <c r="O429" s="115">
        <v>25000</v>
      </c>
      <c r="P429" s="115">
        <f t="shared" si="13"/>
        <v>0</v>
      </c>
      <c r="Q429" s="115"/>
      <c r="R429" s="115"/>
      <c r="S429" s="115"/>
      <c r="T429" s="115"/>
      <c r="U429" s="115"/>
      <c r="V429" s="115"/>
      <c r="W429" s="115"/>
      <c r="X429" s="115"/>
      <c r="Y429" s="115"/>
      <c r="Z429" s="115"/>
      <c r="AA429" s="115"/>
      <c r="AB429" s="115"/>
    </row>
    <row r="430" spans="1:28" ht="36">
      <c r="A430" s="259">
        <v>40068047</v>
      </c>
      <c r="B430" s="224" t="s">
        <v>525</v>
      </c>
      <c r="C430" s="224" t="s">
        <v>27</v>
      </c>
      <c r="D430" s="224"/>
      <c r="E430" s="101" t="s">
        <v>132</v>
      </c>
      <c r="F430" s="249" t="s">
        <v>752</v>
      </c>
      <c r="G430" s="243" t="s">
        <v>103</v>
      </c>
      <c r="H430" s="101" t="s">
        <v>150</v>
      </c>
      <c r="I430" s="101">
        <v>2024</v>
      </c>
      <c r="J430" s="101">
        <v>14595</v>
      </c>
      <c r="K430" s="146">
        <v>255796</v>
      </c>
      <c r="L430" s="101" t="s">
        <v>216</v>
      </c>
      <c r="M430" s="105" t="s">
        <v>268</v>
      </c>
      <c r="N430" s="115">
        <v>1000</v>
      </c>
      <c r="O430" s="115">
        <v>25000</v>
      </c>
      <c r="P430" s="115">
        <f t="shared" si="13"/>
        <v>0</v>
      </c>
      <c r="Q430" s="115"/>
      <c r="R430" s="115"/>
      <c r="S430" s="115"/>
      <c r="T430" s="115"/>
      <c r="U430" s="115"/>
      <c r="V430" s="115"/>
      <c r="W430" s="115"/>
      <c r="X430" s="115"/>
      <c r="Y430" s="115"/>
      <c r="Z430" s="115"/>
      <c r="AA430" s="115"/>
      <c r="AB430" s="115"/>
    </row>
    <row r="431" spans="1:28" ht="36">
      <c r="A431" s="259">
        <v>40066640</v>
      </c>
      <c r="B431" s="224" t="s">
        <v>525</v>
      </c>
      <c r="C431" s="224" t="s">
        <v>27</v>
      </c>
      <c r="D431" s="224"/>
      <c r="E431" s="101" t="s">
        <v>132</v>
      </c>
      <c r="F431" s="249" t="s">
        <v>753</v>
      </c>
      <c r="G431" s="243" t="s">
        <v>85</v>
      </c>
      <c r="H431" s="101" t="s">
        <v>150</v>
      </c>
      <c r="I431" s="101">
        <v>2024</v>
      </c>
      <c r="J431" s="101">
        <v>14594</v>
      </c>
      <c r="K431" s="146">
        <v>140691</v>
      </c>
      <c r="L431" s="101" t="s">
        <v>216</v>
      </c>
      <c r="M431" s="105" t="s">
        <v>340</v>
      </c>
      <c r="N431" s="115">
        <v>1000</v>
      </c>
      <c r="O431" s="115">
        <v>50000</v>
      </c>
      <c r="P431" s="115">
        <f t="shared" si="13"/>
        <v>0</v>
      </c>
      <c r="Q431" s="115"/>
      <c r="R431" s="115"/>
      <c r="S431" s="115"/>
      <c r="T431" s="115"/>
      <c r="U431" s="115"/>
      <c r="V431" s="115"/>
      <c r="W431" s="115"/>
      <c r="X431" s="115"/>
      <c r="Y431" s="115"/>
      <c r="Z431" s="115"/>
      <c r="AA431" s="115"/>
      <c r="AB431" s="115"/>
    </row>
    <row r="432" spans="1:28" ht="37.5" customHeight="1">
      <c r="A432" s="259">
        <v>40006938</v>
      </c>
      <c r="B432" s="224" t="s">
        <v>568</v>
      </c>
      <c r="C432" s="224" t="s">
        <v>30</v>
      </c>
      <c r="D432" s="224"/>
      <c r="E432" s="101" t="s">
        <v>132</v>
      </c>
      <c r="F432" s="249" t="s">
        <v>754</v>
      </c>
      <c r="G432" s="243" t="s">
        <v>99</v>
      </c>
      <c r="H432" s="101" t="s">
        <v>701</v>
      </c>
      <c r="I432" s="101">
        <v>2024</v>
      </c>
      <c r="J432" s="101">
        <v>14593</v>
      </c>
      <c r="K432" s="146">
        <v>25460083</v>
      </c>
      <c r="L432" s="101" t="s">
        <v>135</v>
      </c>
      <c r="M432" s="105" t="s">
        <v>490</v>
      </c>
      <c r="N432" s="115">
        <v>1200000</v>
      </c>
      <c r="O432" s="115">
        <v>312313</v>
      </c>
      <c r="P432" s="115">
        <f t="shared" si="13"/>
        <v>0</v>
      </c>
      <c r="Q432" s="115"/>
      <c r="R432" s="115"/>
      <c r="S432" s="115"/>
      <c r="T432" s="115"/>
      <c r="U432" s="115"/>
      <c r="V432" s="115"/>
      <c r="W432" s="115"/>
      <c r="X432" s="115"/>
      <c r="Y432" s="115"/>
      <c r="Z432" s="115"/>
      <c r="AA432" s="115"/>
      <c r="AB432" s="115"/>
    </row>
    <row r="433" spans="1:28" ht="36">
      <c r="A433" s="259">
        <v>40059916</v>
      </c>
      <c r="B433" s="224" t="s">
        <v>525</v>
      </c>
      <c r="C433" s="224" t="s">
        <v>27</v>
      </c>
      <c r="D433" s="224"/>
      <c r="E433" s="101" t="s">
        <v>132</v>
      </c>
      <c r="F433" s="249" t="s">
        <v>755</v>
      </c>
      <c r="G433" s="243" t="s">
        <v>83</v>
      </c>
      <c r="H433" s="101" t="s">
        <v>134</v>
      </c>
      <c r="I433" s="101">
        <v>2024</v>
      </c>
      <c r="J433" s="101">
        <v>14590</v>
      </c>
      <c r="K433" s="146">
        <v>531338</v>
      </c>
      <c r="L433" s="101" t="s">
        <v>216</v>
      </c>
      <c r="M433" s="105" t="s">
        <v>340</v>
      </c>
      <c r="N433" s="115">
        <v>1000</v>
      </c>
      <c r="O433" s="115">
        <v>50000</v>
      </c>
      <c r="P433" s="115">
        <f t="shared" si="13"/>
        <v>0</v>
      </c>
      <c r="Q433" s="115"/>
      <c r="R433" s="115"/>
      <c r="S433" s="115"/>
      <c r="T433" s="115"/>
      <c r="U433" s="115"/>
      <c r="V433" s="115"/>
      <c r="W433" s="115"/>
      <c r="X433" s="115"/>
      <c r="Y433" s="115"/>
      <c r="Z433" s="115"/>
      <c r="AA433" s="115"/>
      <c r="AB433" s="115"/>
    </row>
    <row r="434" spans="1:28" ht="24">
      <c r="A434" s="259">
        <v>40045057</v>
      </c>
      <c r="B434" s="224" t="s">
        <v>525</v>
      </c>
      <c r="C434" s="224" t="s">
        <v>38</v>
      </c>
      <c r="D434" s="224"/>
      <c r="E434" s="101" t="s">
        <v>132</v>
      </c>
      <c r="F434" s="249" t="s">
        <v>756</v>
      </c>
      <c r="G434" s="243" t="s">
        <v>99</v>
      </c>
      <c r="H434" s="101" t="s">
        <v>147</v>
      </c>
      <c r="I434" s="101">
        <v>2024</v>
      </c>
      <c r="J434" s="101">
        <v>14587</v>
      </c>
      <c r="K434" s="146">
        <v>363548</v>
      </c>
      <c r="L434" s="101" t="s">
        <v>216</v>
      </c>
      <c r="M434" s="105" t="s">
        <v>340</v>
      </c>
      <c r="N434" s="115">
        <v>1000</v>
      </c>
      <c r="O434" s="115">
        <v>50000</v>
      </c>
      <c r="P434" s="115">
        <f t="shared" si="13"/>
        <v>0</v>
      </c>
      <c r="Q434" s="115"/>
      <c r="R434" s="115"/>
      <c r="S434" s="115"/>
      <c r="T434" s="115"/>
      <c r="U434" s="115"/>
      <c r="V434" s="115"/>
      <c r="W434" s="115"/>
      <c r="X434" s="115"/>
      <c r="Y434" s="115"/>
      <c r="Z434" s="115"/>
      <c r="AA434" s="115"/>
      <c r="AB434" s="115"/>
    </row>
    <row r="435" spans="1:28" ht="36">
      <c r="A435" s="259">
        <v>40059705</v>
      </c>
      <c r="B435" s="224" t="s">
        <v>568</v>
      </c>
      <c r="C435" s="224" t="s">
        <v>30</v>
      </c>
      <c r="D435" s="224"/>
      <c r="E435" s="101" t="s">
        <v>132</v>
      </c>
      <c r="F435" s="249" t="s">
        <v>757</v>
      </c>
      <c r="G435" s="243" t="s">
        <v>83</v>
      </c>
      <c r="H435" s="101" t="s">
        <v>701</v>
      </c>
      <c r="I435" s="101">
        <v>2024</v>
      </c>
      <c r="J435" s="101">
        <v>14585</v>
      </c>
      <c r="K435" s="146">
        <v>34711002</v>
      </c>
      <c r="L435" s="101" t="s">
        <v>301</v>
      </c>
      <c r="M435" s="105" t="s">
        <v>268</v>
      </c>
      <c r="N435" s="115">
        <v>1200000</v>
      </c>
      <c r="O435" s="115">
        <v>209617</v>
      </c>
      <c r="P435" s="115">
        <f>SUM(Q435:AB435)</f>
        <v>0</v>
      </c>
      <c r="Q435" s="115"/>
      <c r="R435" s="115"/>
      <c r="S435" s="115"/>
      <c r="T435" s="115"/>
      <c r="U435" s="115"/>
      <c r="V435" s="115"/>
      <c r="W435" s="115"/>
      <c r="X435" s="115"/>
      <c r="Y435" s="115"/>
      <c r="Z435" s="115"/>
      <c r="AA435" s="115"/>
      <c r="AB435" s="115"/>
    </row>
    <row r="436" spans="1:28" ht="24">
      <c r="A436" s="259">
        <v>40064781</v>
      </c>
      <c r="B436" s="224" t="s">
        <v>525</v>
      </c>
      <c r="C436" s="224" t="s">
        <v>38</v>
      </c>
      <c r="D436" s="224"/>
      <c r="E436" s="101" t="s">
        <v>132</v>
      </c>
      <c r="F436" s="249" t="s">
        <v>758</v>
      </c>
      <c r="G436" s="243" t="s">
        <v>103</v>
      </c>
      <c r="H436" s="101" t="s">
        <v>147</v>
      </c>
      <c r="I436" s="101">
        <v>2024</v>
      </c>
      <c r="J436" s="101">
        <v>14668</v>
      </c>
      <c r="K436" s="146">
        <v>453906</v>
      </c>
      <c r="L436" s="101" t="s">
        <v>216</v>
      </c>
      <c r="M436" s="105" t="s">
        <v>340</v>
      </c>
      <c r="N436" s="115">
        <v>1000</v>
      </c>
      <c r="O436" s="115">
        <v>25000</v>
      </c>
      <c r="P436" s="115">
        <f t="shared" ref="P436:P437" si="14">SUM(Q436:AB436)</f>
        <v>0</v>
      </c>
      <c r="Q436" s="115"/>
      <c r="R436" s="115"/>
      <c r="S436" s="115"/>
      <c r="T436" s="115"/>
      <c r="U436" s="115"/>
      <c r="V436" s="115"/>
      <c r="W436" s="115"/>
      <c r="X436" s="115"/>
      <c r="Y436" s="115"/>
      <c r="Z436" s="115"/>
      <c r="AA436" s="115"/>
      <c r="AB436" s="115"/>
    </row>
    <row r="437" spans="1:28" ht="36">
      <c r="A437" s="259">
        <v>40068180</v>
      </c>
      <c r="B437" s="224" t="s">
        <v>525</v>
      </c>
      <c r="C437" s="224" t="s">
        <v>27</v>
      </c>
      <c r="D437" s="224"/>
      <c r="E437" s="101" t="s">
        <v>132</v>
      </c>
      <c r="F437" s="249" t="s">
        <v>759</v>
      </c>
      <c r="G437" s="243" t="s">
        <v>103</v>
      </c>
      <c r="H437" s="101" t="s">
        <v>147</v>
      </c>
      <c r="I437" s="101">
        <v>2024</v>
      </c>
      <c r="J437" s="101">
        <v>14671</v>
      </c>
      <c r="K437" s="146">
        <v>138271</v>
      </c>
      <c r="L437" s="101" t="s">
        <v>216</v>
      </c>
      <c r="M437" s="105" t="s">
        <v>340</v>
      </c>
      <c r="N437" s="115">
        <v>1000</v>
      </c>
      <c r="O437" s="115">
        <v>25000</v>
      </c>
      <c r="P437" s="115">
        <f t="shared" si="14"/>
        <v>0</v>
      </c>
      <c r="Q437" s="115"/>
      <c r="R437" s="115"/>
      <c r="S437" s="115"/>
      <c r="T437" s="115"/>
      <c r="U437" s="115"/>
      <c r="V437" s="115"/>
      <c r="W437" s="115"/>
      <c r="X437" s="115"/>
      <c r="Y437" s="115"/>
      <c r="Z437" s="115"/>
      <c r="AA437" s="115"/>
      <c r="AB437" s="115"/>
    </row>
    <row r="438" spans="1:28" ht="24">
      <c r="A438" s="259">
        <v>40068365</v>
      </c>
      <c r="B438" s="224" t="s">
        <v>525</v>
      </c>
      <c r="C438" s="224" t="s">
        <v>38</v>
      </c>
      <c r="D438" s="224"/>
      <c r="E438" s="101" t="s">
        <v>132</v>
      </c>
      <c r="F438" s="249" t="s">
        <v>760</v>
      </c>
      <c r="G438" s="243" t="s">
        <v>99</v>
      </c>
      <c r="H438" s="101" t="s">
        <v>183</v>
      </c>
      <c r="I438" s="101">
        <v>2024</v>
      </c>
      <c r="J438" s="101">
        <v>14692</v>
      </c>
      <c r="K438" s="146">
        <v>327861</v>
      </c>
      <c r="L438" s="101" t="s">
        <v>216</v>
      </c>
      <c r="M438" s="105" t="s">
        <v>340</v>
      </c>
      <c r="N438" s="115">
        <v>1000</v>
      </c>
      <c r="O438" s="115">
        <v>25000</v>
      </c>
      <c r="P438" s="115">
        <f t="shared" ref="P438" si="15">SUM(Q438:AB438)</f>
        <v>0</v>
      </c>
      <c r="Q438" s="115"/>
      <c r="R438" s="115"/>
      <c r="S438" s="115"/>
      <c r="T438" s="115"/>
      <c r="U438" s="115"/>
      <c r="V438" s="115"/>
      <c r="W438" s="115"/>
      <c r="X438" s="115"/>
      <c r="Y438" s="115"/>
      <c r="Z438" s="115"/>
      <c r="AA438" s="115"/>
      <c r="AB438" s="115"/>
    </row>
    <row r="439" spans="1:28" ht="36">
      <c r="A439" s="259">
        <v>40068031</v>
      </c>
      <c r="B439" s="224" t="s">
        <v>580</v>
      </c>
      <c r="C439" s="224" t="s">
        <v>27</v>
      </c>
      <c r="D439" s="224"/>
      <c r="E439" s="101" t="s">
        <v>132</v>
      </c>
      <c r="F439" s="249" t="s">
        <v>761</v>
      </c>
      <c r="G439" s="243" t="s">
        <v>103</v>
      </c>
      <c r="H439" s="101" t="s">
        <v>310</v>
      </c>
      <c r="I439" s="101">
        <v>2024</v>
      </c>
      <c r="J439" s="101">
        <v>14701</v>
      </c>
      <c r="K439" s="146">
        <v>4000000</v>
      </c>
      <c r="L439" s="101" t="s">
        <v>311</v>
      </c>
      <c r="M439" s="105" t="s">
        <v>340</v>
      </c>
      <c r="N439" s="115"/>
      <c r="O439" s="115">
        <v>310000</v>
      </c>
      <c r="P439" s="115">
        <f t="shared" ref="P439" si="16">SUM(Q439:AB439)</f>
        <v>0</v>
      </c>
      <c r="Q439" s="115"/>
      <c r="R439" s="115"/>
      <c r="S439" s="115"/>
      <c r="T439" s="115"/>
      <c r="U439" s="115"/>
      <c r="V439" s="115"/>
      <c r="W439" s="115"/>
      <c r="X439" s="115"/>
      <c r="Y439" s="115"/>
      <c r="Z439" s="115"/>
      <c r="AA439" s="115"/>
      <c r="AB439" s="115"/>
    </row>
    <row r="440" spans="1:28" ht="40.5" customHeight="1">
      <c r="A440" s="259">
        <v>40068200</v>
      </c>
      <c r="B440" s="224" t="s">
        <v>525</v>
      </c>
      <c r="C440" s="224" t="s">
        <v>27</v>
      </c>
      <c r="D440" s="224"/>
      <c r="E440" s="101" t="s">
        <v>132</v>
      </c>
      <c r="F440" s="249" t="s">
        <v>762</v>
      </c>
      <c r="G440" s="243" t="s">
        <v>83</v>
      </c>
      <c r="H440" s="101" t="s">
        <v>147</v>
      </c>
      <c r="I440" s="101">
        <v>2024</v>
      </c>
      <c r="J440" s="101">
        <v>14719</v>
      </c>
      <c r="K440" s="146">
        <v>198492</v>
      </c>
      <c r="L440" s="101" t="s">
        <v>216</v>
      </c>
      <c r="M440" s="105" t="s">
        <v>340</v>
      </c>
      <c r="N440" s="115">
        <v>1000</v>
      </c>
      <c r="O440" s="115">
        <v>25000</v>
      </c>
      <c r="P440" s="115">
        <f t="shared" ref="P440" si="17">SUM(Q440:AB440)</f>
        <v>0</v>
      </c>
      <c r="Q440" s="115"/>
      <c r="R440" s="115"/>
      <c r="S440" s="115"/>
      <c r="T440" s="115"/>
      <c r="U440" s="115"/>
      <c r="V440" s="115"/>
      <c r="W440" s="115"/>
      <c r="X440" s="115"/>
      <c r="Y440" s="115"/>
      <c r="Z440" s="115"/>
      <c r="AA440" s="115"/>
      <c r="AB440" s="115"/>
    </row>
    <row r="441" spans="1:28" ht="24">
      <c r="A441" s="259">
        <v>40007901</v>
      </c>
      <c r="B441" s="224" t="s">
        <v>568</v>
      </c>
      <c r="C441" s="224" t="s">
        <v>30</v>
      </c>
      <c r="D441" s="224"/>
      <c r="E441" s="101" t="s">
        <v>132</v>
      </c>
      <c r="F441" s="249" t="s">
        <v>763</v>
      </c>
      <c r="G441" s="243" t="s">
        <v>86</v>
      </c>
      <c r="H441" s="101" t="s">
        <v>154</v>
      </c>
      <c r="I441" s="101">
        <v>2024</v>
      </c>
      <c r="J441" s="101">
        <v>14720</v>
      </c>
      <c r="K441" s="146">
        <v>5877409</v>
      </c>
      <c r="L441" s="101" t="s">
        <v>216</v>
      </c>
      <c r="M441" s="105" t="s">
        <v>340</v>
      </c>
      <c r="N441" s="115">
        <v>5000</v>
      </c>
      <c r="O441" s="115">
        <v>286072</v>
      </c>
      <c r="P441" s="115">
        <f t="shared" ref="P441" si="18">SUM(Q441:AB441)</f>
        <v>0</v>
      </c>
      <c r="Q441" s="115"/>
      <c r="R441" s="115"/>
      <c r="S441" s="115"/>
      <c r="T441" s="115"/>
      <c r="U441" s="115"/>
      <c r="V441" s="115"/>
      <c r="W441" s="115"/>
      <c r="X441" s="115"/>
      <c r="Y441" s="115"/>
      <c r="Z441" s="115"/>
      <c r="AA441" s="115"/>
      <c r="AB441" s="115"/>
    </row>
    <row r="442" spans="1:28" ht="24">
      <c r="A442" s="259">
        <v>40068853</v>
      </c>
      <c r="B442" s="224" t="s">
        <v>525</v>
      </c>
      <c r="C442" s="224" t="s">
        <v>27</v>
      </c>
      <c r="D442" s="224"/>
      <c r="E442" s="101" t="s">
        <v>132</v>
      </c>
      <c r="F442" s="249" t="s">
        <v>764</v>
      </c>
      <c r="G442" s="243" t="s">
        <v>103</v>
      </c>
      <c r="H442" s="101" t="s">
        <v>147</v>
      </c>
      <c r="I442" s="101">
        <v>2024</v>
      </c>
      <c r="J442" s="101">
        <v>14721</v>
      </c>
      <c r="K442" s="146">
        <v>2450948</v>
      </c>
      <c r="L442" s="101" t="s">
        <v>216</v>
      </c>
      <c r="M442" s="105" t="s">
        <v>340</v>
      </c>
      <c r="N442" s="115">
        <v>1000</v>
      </c>
      <c r="O442" s="115">
        <v>25000</v>
      </c>
      <c r="P442" s="115">
        <f t="shared" ref="P442" si="19">SUM(Q442:AB442)</f>
        <v>0</v>
      </c>
      <c r="Q442" s="115"/>
      <c r="R442" s="115"/>
      <c r="S442" s="115"/>
      <c r="T442" s="115"/>
      <c r="U442" s="115"/>
      <c r="V442" s="115"/>
      <c r="W442" s="115"/>
      <c r="X442" s="115"/>
      <c r="Y442" s="115"/>
      <c r="Z442" s="115"/>
      <c r="AA442" s="115"/>
      <c r="AB442" s="115"/>
    </row>
    <row r="443" spans="1:28" ht="24">
      <c r="A443" s="259">
        <v>40052762</v>
      </c>
      <c r="B443" s="224" t="s">
        <v>525</v>
      </c>
      <c r="C443" s="224" t="s">
        <v>27</v>
      </c>
      <c r="D443" s="224"/>
      <c r="E443" s="101" t="s">
        <v>132</v>
      </c>
      <c r="F443" s="249" t="s">
        <v>765</v>
      </c>
      <c r="G443" s="243" t="s">
        <v>100</v>
      </c>
      <c r="H443" s="101" t="s">
        <v>147</v>
      </c>
      <c r="I443" s="101">
        <v>2024</v>
      </c>
      <c r="J443" s="101">
        <v>14722</v>
      </c>
      <c r="K443" s="146">
        <v>178553</v>
      </c>
      <c r="L443" s="101" t="s">
        <v>216</v>
      </c>
      <c r="M443" s="105" t="s">
        <v>340</v>
      </c>
      <c r="N443" s="115">
        <v>1000</v>
      </c>
      <c r="O443" s="115">
        <v>25000</v>
      </c>
      <c r="P443" s="115">
        <f t="shared" ref="P443:P444" si="20">SUM(Q443:AB443)</f>
        <v>0</v>
      </c>
      <c r="Q443" s="115"/>
      <c r="R443" s="115"/>
      <c r="S443" s="115"/>
      <c r="T443" s="115"/>
      <c r="U443" s="115"/>
      <c r="V443" s="115"/>
      <c r="W443" s="115"/>
      <c r="X443" s="115"/>
      <c r="Y443" s="115"/>
      <c r="Z443" s="115"/>
      <c r="AA443" s="115"/>
      <c r="AB443" s="115"/>
    </row>
    <row r="444" spans="1:28" ht="36">
      <c r="A444" s="259">
        <v>40046494</v>
      </c>
      <c r="B444" s="224" t="s">
        <v>580</v>
      </c>
      <c r="C444" s="224" t="s">
        <v>27</v>
      </c>
      <c r="D444" s="224"/>
      <c r="E444" s="101" t="s">
        <v>132</v>
      </c>
      <c r="F444" s="249" t="s">
        <v>766</v>
      </c>
      <c r="G444" s="243" t="s">
        <v>103</v>
      </c>
      <c r="H444" s="101" t="s">
        <v>276</v>
      </c>
      <c r="I444" s="101">
        <v>2024</v>
      </c>
      <c r="J444" s="101">
        <v>14734</v>
      </c>
      <c r="K444" s="146">
        <v>399823</v>
      </c>
      <c r="L444" s="101" t="s">
        <v>216</v>
      </c>
      <c r="M444" s="105" t="s">
        <v>490</v>
      </c>
      <c r="N444" s="115"/>
      <c r="O444" s="115"/>
      <c r="P444" s="115">
        <f t="shared" si="20"/>
        <v>0</v>
      </c>
      <c r="Q444" s="115"/>
      <c r="R444" s="115"/>
      <c r="S444" s="115"/>
      <c r="T444" s="115"/>
      <c r="U444" s="115"/>
      <c r="V444" s="115"/>
      <c r="W444" s="115"/>
      <c r="X444" s="115"/>
      <c r="Y444" s="115"/>
      <c r="Z444" s="115"/>
      <c r="AA444" s="115"/>
      <c r="AB444" s="115"/>
    </row>
    <row r="445" spans="1:28" ht="36">
      <c r="A445" s="259">
        <v>40065344</v>
      </c>
      <c r="B445" s="224" t="s">
        <v>580</v>
      </c>
      <c r="C445" s="224" t="s">
        <v>25</v>
      </c>
      <c r="D445" s="224"/>
      <c r="E445" s="101" t="s">
        <v>132</v>
      </c>
      <c r="F445" s="249" t="s">
        <v>767</v>
      </c>
      <c r="G445" s="243" t="s">
        <v>103</v>
      </c>
      <c r="H445" s="101" t="s">
        <v>276</v>
      </c>
      <c r="I445" s="101">
        <v>2024</v>
      </c>
      <c r="J445" s="101">
        <v>14735</v>
      </c>
      <c r="K445" s="146">
        <v>699923</v>
      </c>
      <c r="L445" s="101" t="s">
        <v>216</v>
      </c>
      <c r="M445" s="105" t="s">
        <v>490</v>
      </c>
      <c r="N445" s="115"/>
      <c r="O445" s="115"/>
      <c r="P445" s="115">
        <f t="shared" ref="P445" si="21">SUM(Q445:AB445)</f>
        <v>0</v>
      </c>
      <c r="Q445" s="115"/>
      <c r="R445" s="115"/>
      <c r="S445" s="115"/>
      <c r="T445" s="115"/>
      <c r="U445" s="115"/>
      <c r="V445" s="115"/>
      <c r="W445" s="115"/>
      <c r="X445" s="115"/>
      <c r="Y445" s="115"/>
      <c r="Z445" s="115"/>
      <c r="AA445" s="115"/>
      <c r="AB445" s="115"/>
    </row>
    <row r="446" spans="1:28" ht="36">
      <c r="A446" s="259">
        <v>40025554</v>
      </c>
      <c r="B446" s="224" t="s">
        <v>568</v>
      </c>
      <c r="C446" s="224" t="s">
        <v>30</v>
      </c>
      <c r="D446" s="224"/>
      <c r="E446" s="101" t="s">
        <v>132</v>
      </c>
      <c r="F446" s="249" t="s">
        <v>768</v>
      </c>
      <c r="G446" s="243" t="s">
        <v>83</v>
      </c>
      <c r="H446" s="101" t="s">
        <v>134</v>
      </c>
      <c r="I446" s="101">
        <v>2024</v>
      </c>
      <c r="J446" s="101">
        <v>14427</v>
      </c>
      <c r="K446" s="146">
        <v>419392</v>
      </c>
      <c r="L446" s="101" t="s">
        <v>148</v>
      </c>
      <c r="M446" s="105" t="s">
        <v>268</v>
      </c>
      <c r="N446" s="115">
        <v>1000</v>
      </c>
      <c r="O446" s="115">
        <v>50000</v>
      </c>
      <c r="P446" s="115">
        <f t="shared" ref="P446" si="22">SUM(Q446:AB446)</f>
        <v>0</v>
      </c>
      <c r="Q446" s="115"/>
      <c r="R446" s="115"/>
      <c r="S446" s="115"/>
      <c r="T446" s="115"/>
      <c r="U446" s="115"/>
      <c r="V446" s="115"/>
      <c r="W446" s="115"/>
      <c r="X446" s="115"/>
      <c r="Y446" s="115"/>
      <c r="Z446" s="115"/>
      <c r="AA446" s="115"/>
      <c r="AB446" s="115"/>
    </row>
    <row r="447" spans="1:28" ht="36">
      <c r="A447" s="259">
        <v>40029810</v>
      </c>
      <c r="B447" s="224" t="s">
        <v>568</v>
      </c>
      <c r="C447" s="224" t="s">
        <v>30</v>
      </c>
      <c r="D447" s="224"/>
      <c r="E447" s="101" t="s">
        <v>139</v>
      </c>
      <c r="F447" s="249" t="s">
        <v>769</v>
      </c>
      <c r="G447" s="243" t="s">
        <v>87</v>
      </c>
      <c r="H447" s="101" t="s">
        <v>276</v>
      </c>
      <c r="I447" s="101">
        <v>2024</v>
      </c>
      <c r="J447" s="101">
        <v>14748</v>
      </c>
      <c r="K447" s="146">
        <v>471251</v>
      </c>
      <c r="L447" s="101" t="s">
        <v>216</v>
      </c>
      <c r="M447" s="105" t="s">
        <v>340</v>
      </c>
      <c r="N447" s="115">
        <v>5000</v>
      </c>
      <c r="O447" s="115">
        <v>129730</v>
      </c>
      <c r="P447" s="115">
        <f>SUM(Q447:AB447)</f>
        <v>0</v>
      </c>
      <c r="Q447" s="115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  <c r="AB447" s="115"/>
    </row>
    <row r="448" spans="1:28" ht="36">
      <c r="A448" s="259">
        <v>40059265</v>
      </c>
      <c r="B448" s="224" t="s">
        <v>580</v>
      </c>
      <c r="C448" s="224" t="s">
        <v>25</v>
      </c>
      <c r="D448" s="224"/>
      <c r="E448" s="101" t="s">
        <v>132</v>
      </c>
      <c r="F448" s="249" t="s">
        <v>770</v>
      </c>
      <c r="G448" s="243" t="s">
        <v>103</v>
      </c>
      <c r="H448" s="101" t="s">
        <v>147</v>
      </c>
      <c r="I448" s="101">
        <v>2023</v>
      </c>
      <c r="J448" s="101">
        <v>13639</v>
      </c>
      <c r="K448" s="146">
        <v>150000</v>
      </c>
      <c r="L448" s="101" t="s">
        <v>771</v>
      </c>
      <c r="M448" s="105" t="s">
        <v>340</v>
      </c>
      <c r="N448" s="115">
        <v>90000</v>
      </c>
      <c r="O448" s="115">
        <v>90000</v>
      </c>
      <c r="P448" s="115">
        <f>SUM(Q448:AB448)</f>
        <v>0</v>
      </c>
      <c r="Q448" s="115"/>
      <c r="R448" s="115"/>
      <c r="S448" s="115"/>
      <c r="T448" s="115"/>
      <c r="U448" s="115"/>
      <c r="V448" s="115"/>
      <c r="W448" s="115"/>
      <c r="X448" s="115"/>
      <c r="Y448" s="115"/>
      <c r="Z448" s="115"/>
      <c r="AA448" s="115"/>
      <c r="AB448" s="115"/>
    </row>
    <row r="449" spans="1:28" ht="36">
      <c r="A449" s="259">
        <v>40059260</v>
      </c>
      <c r="B449" s="224" t="s">
        <v>580</v>
      </c>
      <c r="C449" s="224" t="s">
        <v>25</v>
      </c>
      <c r="E449" s="101" t="s">
        <v>132</v>
      </c>
      <c r="F449" s="249" t="s">
        <v>772</v>
      </c>
      <c r="G449" s="243" t="s">
        <v>103</v>
      </c>
      <c r="H449" s="101" t="s">
        <v>147</v>
      </c>
      <c r="I449" s="101">
        <v>2023</v>
      </c>
      <c r="J449" s="101">
        <v>13639</v>
      </c>
      <c r="K449" s="146">
        <v>150000</v>
      </c>
      <c r="L449" s="101" t="s">
        <v>771</v>
      </c>
      <c r="M449" s="105" t="s">
        <v>340</v>
      </c>
      <c r="N449" s="115">
        <v>90000</v>
      </c>
      <c r="O449" s="115">
        <v>90000</v>
      </c>
      <c r="P449" s="115">
        <f t="shared" ref="P449:P454" si="23">SUM(Q449:AB449)</f>
        <v>0</v>
      </c>
      <c r="Q449" s="115"/>
      <c r="R449" s="115"/>
      <c r="S449" s="115"/>
      <c r="T449" s="115"/>
      <c r="U449" s="115"/>
      <c r="V449" s="115"/>
      <c r="W449" s="115"/>
      <c r="X449" s="115"/>
      <c r="Y449" s="115"/>
      <c r="Z449" s="115"/>
      <c r="AA449" s="115"/>
      <c r="AB449" s="115"/>
    </row>
    <row r="450" spans="1:28" ht="36">
      <c r="A450" s="259">
        <v>40059259</v>
      </c>
      <c r="B450" s="224" t="s">
        <v>580</v>
      </c>
      <c r="C450" s="224" t="s">
        <v>25</v>
      </c>
      <c r="E450" s="101" t="s">
        <v>132</v>
      </c>
      <c r="F450" s="249" t="s">
        <v>773</v>
      </c>
      <c r="G450" s="243" t="s">
        <v>103</v>
      </c>
      <c r="H450" s="101" t="s">
        <v>147</v>
      </c>
      <c r="I450" s="101">
        <v>2023</v>
      </c>
      <c r="J450" s="101">
        <v>13639</v>
      </c>
      <c r="K450" s="146">
        <v>150000</v>
      </c>
      <c r="L450" s="101" t="s">
        <v>771</v>
      </c>
      <c r="M450" s="105" t="s">
        <v>340</v>
      </c>
      <c r="N450" s="115">
        <v>90000</v>
      </c>
      <c r="O450" s="115">
        <v>90000</v>
      </c>
      <c r="P450" s="115">
        <f t="shared" si="23"/>
        <v>0</v>
      </c>
      <c r="Q450" s="115"/>
      <c r="R450" s="115"/>
      <c r="S450" s="115"/>
      <c r="T450" s="115"/>
      <c r="U450" s="115"/>
      <c r="V450" s="115"/>
      <c r="W450" s="115"/>
      <c r="X450" s="115"/>
      <c r="Y450" s="115"/>
      <c r="Z450" s="115"/>
      <c r="AA450" s="115"/>
      <c r="AB450" s="115"/>
    </row>
    <row r="451" spans="1:28" ht="36">
      <c r="A451" s="259">
        <v>40059258</v>
      </c>
      <c r="B451" s="224" t="s">
        <v>580</v>
      </c>
      <c r="C451" s="224" t="s">
        <v>25</v>
      </c>
      <c r="E451" s="101" t="s">
        <v>132</v>
      </c>
      <c r="F451" s="249" t="s">
        <v>774</v>
      </c>
      <c r="G451" s="243" t="s">
        <v>103</v>
      </c>
      <c r="H451" s="101" t="s">
        <v>147</v>
      </c>
      <c r="I451" s="101">
        <v>2023</v>
      </c>
      <c r="J451" s="101">
        <v>13639</v>
      </c>
      <c r="K451" s="146">
        <v>150000</v>
      </c>
      <c r="L451" s="101" t="s">
        <v>771</v>
      </c>
      <c r="M451" s="105" t="s">
        <v>340</v>
      </c>
      <c r="N451" s="115">
        <v>90000</v>
      </c>
      <c r="O451" s="115">
        <v>90000</v>
      </c>
      <c r="P451" s="115">
        <f t="shared" si="23"/>
        <v>0</v>
      </c>
      <c r="Q451" s="115"/>
      <c r="R451" s="115"/>
      <c r="S451" s="115"/>
      <c r="T451" s="115"/>
      <c r="U451" s="115"/>
      <c r="V451" s="115"/>
      <c r="W451" s="115"/>
      <c r="X451" s="115"/>
      <c r="Y451" s="115"/>
      <c r="Z451" s="115"/>
      <c r="AA451" s="115"/>
      <c r="AB451" s="115"/>
    </row>
    <row r="452" spans="1:28" ht="36">
      <c r="A452" s="259">
        <v>40059257</v>
      </c>
      <c r="B452" s="224" t="s">
        <v>580</v>
      </c>
      <c r="C452" s="224" t="s">
        <v>25</v>
      </c>
      <c r="E452" s="101" t="s">
        <v>132</v>
      </c>
      <c r="F452" s="249" t="s">
        <v>775</v>
      </c>
      <c r="G452" s="243" t="s">
        <v>103</v>
      </c>
      <c r="H452" s="101" t="s">
        <v>310</v>
      </c>
      <c r="I452" s="101">
        <v>2023</v>
      </c>
      <c r="J452" s="101">
        <v>13639</v>
      </c>
      <c r="K452" s="146">
        <v>150000</v>
      </c>
      <c r="L452" s="101" t="s">
        <v>771</v>
      </c>
      <c r="M452" s="105" t="s">
        <v>340</v>
      </c>
      <c r="N452" s="115">
        <v>90000</v>
      </c>
      <c r="O452" s="115">
        <v>90000</v>
      </c>
      <c r="P452" s="115">
        <f t="shared" si="23"/>
        <v>0</v>
      </c>
      <c r="Q452" s="115"/>
      <c r="R452" s="115"/>
      <c r="S452" s="115"/>
      <c r="T452" s="115"/>
      <c r="U452" s="115"/>
      <c r="V452" s="115"/>
      <c r="W452" s="115"/>
      <c r="X452" s="115"/>
      <c r="Y452" s="115"/>
      <c r="Z452" s="115"/>
      <c r="AA452" s="115"/>
      <c r="AB452" s="115"/>
    </row>
    <row r="453" spans="1:28" ht="24">
      <c r="A453" s="259">
        <v>40059263</v>
      </c>
      <c r="B453" s="224" t="s">
        <v>580</v>
      </c>
      <c r="C453" s="224" t="s">
        <v>25</v>
      </c>
      <c r="E453" s="101" t="s">
        <v>132</v>
      </c>
      <c r="F453" s="249" t="s">
        <v>776</v>
      </c>
      <c r="G453" s="243" t="s">
        <v>103</v>
      </c>
      <c r="H453" s="101" t="s">
        <v>310</v>
      </c>
      <c r="I453" s="101">
        <v>2023</v>
      </c>
      <c r="J453" s="101">
        <v>13639</v>
      </c>
      <c r="K453" s="146">
        <v>97670</v>
      </c>
      <c r="L453" s="101" t="s">
        <v>777</v>
      </c>
      <c r="M453" s="105" t="s">
        <v>340</v>
      </c>
      <c r="N453" s="115">
        <v>58602</v>
      </c>
      <c r="O453" s="115">
        <v>58602</v>
      </c>
      <c r="P453" s="115">
        <f t="shared" si="23"/>
        <v>0</v>
      </c>
      <c r="Q453" s="115"/>
      <c r="R453" s="115"/>
      <c r="S453" s="115"/>
      <c r="T453" s="115"/>
      <c r="U453" s="115"/>
      <c r="V453" s="115"/>
      <c r="W453" s="115"/>
      <c r="X453" s="115"/>
      <c r="Y453" s="115"/>
      <c r="Z453" s="115"/>
      <c r="AA453" s="115"/>
      <c r="AB453" s="115"/>
    </row>
    <row r="454" spans="1:28" ht="36">
      <c r="A454" s="259">
        <v>40059255</v>
      </c>
      <c r="B454" s="224" t="s">
        <v>580</v>
      </c>
      <c r="C454" s="224" t="s">
        <v>25</v>
      </c>
      <c r="E454" s="101" t="s">
        <v>132</v>
      </c>
      <c r="F454" s="249" t="s">
        <v>778</v>
      </c>
      <c r="G454" s="243" t="s">
        <v>103</v>
      </c>
      <c r="H454" s="101" t="s">
        <v>310</v>
      </c>
      <c r="I454" s="101">
        <v>2023</v>
      </c>
      <c r="J454" s="101">
        <v>13639</v>
      </c>
      <c r="K454" s="146">
        <v>150000</v>
      </c>
      <c r="L454" s="101" t="s">
        <v>777</v>
      </c>
      <c r="M454" s="105" t="s">
        <v>340</v>
      </c>
      <c r="N454" s="115">
        <v>90000</v>
      </c>
      <c r="O454" s="115">
        <v>90000</v>
      </c>
      <c r="P454" s="115">
        <f t="shared" si="23"/>
        <v>0</v>
      </c>
      <c r="Q454" s="115"/>
      <c r="R454" s="115"/>
      <c r="S454" s="115"/>
      <c r="T454" s="115"/>
      <c r="U454" s="115"/>
      <c r="V454" s="115"/>
      <c r="W454" s="115"/>
      <c r="X454" s="115"/>
      <c r="Y454" s="115"/>
      <c r="Z454" s="115"/>
      <c r="AA454" s="115"/>
      <c r="AB454" s="115"/>
    </row>
    <row r="455" spans="1:28" ht="24">
      <c r="A455" s="259">
        <v>40059262</v>
      </c>
      <c r="B455" s="224" t="s">
        <v>580</v>
      </c>
      <c r="C455" s="224" t="s">
        <v>27</v>
      </c>
      <c r="D455" s="101"/>
      <c r="E455" s="101" t="s">
        <v>132</v>
      </c>
      <c r="F455" s="249" t="s">
        <v>779</v>
      </c>
      <c r="G455" s="243" t="s">
        <v>103</v>
      </c>
      <c r="H455" s="224" t="s">
        <v>213</v>
      </c>
      <c r="I455" s="101">
        <v>2023</v>
      </c>
      <c r="J455" s="101">
        <v>13639</v>
      </c>
      <c r="K455" s="146">
        <v>150000</v>
      </c>
      <c r="L455" s="101" t="s">
        <v>301</v>
      </c>
      <c r="M455" s="105" t="s">
        <v>340</v>
      </c>
      <c r="N455" s="115">
        <v>90000</v>
      </c>
      <c r="O455" s="115">
        <v>90000</v>
      </c>
      <c r="P455" s="115">
        <f t="shared" ref="P455:P458" si="24">SUM(Q455:AB455)</f>
        <v>0</v>
      </c>
      <c r="Q455" s="115"/>
      <c r="R455" s="115"/>
      <c r="S455" s="115"/>
      <c r="T455" s="115"/>
      <c r="U455" s="115"/>
      <c r="V455" s="115"/>
      <c r="W455" s="115"/>
      <c r="X455" s="115"/>
      <c r="Y455" s="115"/>
      <c r="Z455" s="115"/>
      <c r="AA455" s="115"/>
      <c r="AB455" s="115"/>
    </row>
    <row r="456" spans="1:28" ht="36">
      <c r="A456" s="259">
        <v>40059261</v>
      </c>
      <c r="B456" s="224" t="s">
        <v>580</v>
      </c>
      <c r="C456" s="224" t="s">
        <v>27</v>
      </c>
      <c r="D456" s="101"/>
      <c r="E456" s="101" t="s">
        <v>132</v>
      </c>
      <c r="F456" s="249" t="s">
        <v>780</v>
      </c>
      <c r="G456" s="243" t="s">
        <v>103</v>
      </c>
      <c r="H456" s="224" t="s">
        <v>276</v>
      </c>
      <c r="I456" s="101">
        <v>2023</v>
      </c>
      <c r="J456" s="101">
        <v>13639</v>
      </c>
      <c r="K456" s="146">
        <v>126000</v>
      </c>
      <c r="L456" s="101" t="s">
        <v>301</v>
      </c>
      <c r="M456" s="105" t="s">
        <v>340</v>
      </c>
      <c r="N456" s="115">
        <v>75600</v>
      </c>
      <c r="O456" s="115">
        <v>75600</v>
      </c>
      <c r="P456" s="115">
        <f t="shared" si="24"/>
        <v>0</v>
      </c>
      <c r="Q456" s="115"/>
      <c r="R456" s="115"/>
      <c r="S456" s="115"/>
      <c r="T456" s="115"/>
      <c r="U456" s="115"/>
      <c r="V456" s="115"/>
      <c r="W456" s="115"/>
      <c r="X456" s="115"/>
      <c r="Y456" s="115"/>
      <c r="Z456" s="115"/>
      <c r="AA456" s="115"/>
      <c r="AB456" s="115"/>
    </row>
    <row r="457" spans="1:28" ht="36">
      <c r="A457" s="259">
        <v>40059256</v>
      </c>
      <c r="B457" s="224" t="s">
        <v>580</v>
      </c>
      <c r="C457" s="224" t="s">
        <v>27</v>
      </c>
      <c r="D457" s="101"/>
      <c r="E457" s="101" t="s">
        <v>132</v>
      </c>
      <c r="F457" s="249" t="s">
        <v>781</v>
      </c>
      <c r="G457" s="243" t="s">
        <v>103</v>
      </c>
      <c r="H457" s="224" t="s">
        <v>782</v>
      </c>
      <c r="I457" s="101">
        <v>2023</v>
      </c>
      <c r="J457" s="101">
        <v>13639</v>
      </c>
      <c r="K457" s="146">
        <v>135000</v>
      </c>
      <c r="L457" s="101" t="s">
        <v>301</v>
      </c>
      <c r="M457" s="105" t="s">
        <v>340</v>
      </c>
      <c r="N457" s="115">
        <v>81000</v>
      </c>
      <c r="O457" s="115">
        <v>81000</v>
      </c>
      <c r="P457" s="115">
        <f t="shared" si="24"/>
        <v>0</v>
      </c>
      <c r="Q457" s="115"/>
      <c r="R457" s="115"/>
      <c r="S457" s="115"/>
      <c r="T457" s="115"/>
      <c r="U457" s="115"/>
      <c r="V457" s="115"/>
      <c r="W457" s="115"/>
      <c r="X457" s="115"/>
      <c r="Y457" s="115"/>
      <c r="Z457" s="115"/>
      <c r="AA457" s="115"/>
      <c r="AB457" s="115"/>
    </row>
    <row r="458" spans="1:28" ht="36">
      <c r="A458" s="259">
        <v>40059264</v>
      </c>
      <c r="B458" s="224" t="s">
        <v>580</v>
      </c>
      <c r="C458" s="224" t="s">
        <v>27</v>
      </c>
      <c r="D458" s="101"/>
      <c r="E458" s="101" t="s">
        <v>132</v>
      </c>
      <c r="F458" s="249" t="s">
        <v>783</v>
      </c>
      <c r="G458" s="243" t="s">
        <v>103</v>
      </c>
      <c r="H458" s="224" t="s">
        <v>276</v>
      </c>
      <c r="I458" s="101">
        <v>2023</v>
      </c>
      <c r="J458" s="101">
        <v>13639</v>
      </c>
      <c r="K458" s="146">
        <v>70000</v>
      </c>
      <c r="L458" s="101" t="s">
        <v>321</v>
      </c>
      <c r="M458" s="105" t="s">
        <v>340</v>
      </c>
      <c r="N458" s="115">
        <v>42000</v>
      </c>
      <c r="O458" s="115">
        <v>42000</v>
      </c>
      <c r="P458" s="115">
        <f t="shared" si="24"/>
        <v>0</v>
      </c>
      <c r="Q458" s="115"/>
      <c r="R458" s="115"/>
      <c r="S458" s="115"/>
      <c r="T458" s="115"/>
      <c r="U458" s="115"/>
      <c r="V458" s="115"/>
      <c r="W458" s="115"/>
      <c r="X458" s="115"/>
      <c r="Y458" s="115"/>
      <c r="Z458" s="115"/>
      <c r="AA458" s="115"/>
      <c r="AB458" s="115"/>
    </row>
    <row r="459" spans="1:28">
      <c r="K459" s="6"/>
      <c r="N459" s="6"/>
      <c r="O459" s="6"/>
    </row>
    <row r="460" spans="1:28">
      <c r="K460" s="6"/>
      <c r="N460" s="6"/>
      <c r="O460" s="6"/>
    </row>
    <row r="461" spans="1:28">
      <c r="K461" s="6"/>
      <c r="N461" s="6"/>
      <c r="O461" s="6"/>
    </row>
    <row r="462" spans="1:28">
      <c r="K462" s="6"/>
      <c r="N462" s="6"/>
      <c r="O462" s="6"/>
    </row>
    <row r="463" spans="1:28">
      <c r="K463" s="6"/>
      <c r="N463" s="6"/>
      <c r="O463" s="6"/>
    </row>
    <row r="464" spans="1:28">
      <c r="K464" s="6"/>
      <c r="N464" s="6"/>
      <c r="O464" s="6"/>
    </row>
    <row r="465" spans="11:15">
      <c r="K465" s="6"/>
      <c r="N465" s="6"/>
      <c r="O465" s="6"/>
    </row>
    <row r="466" spans="11:15">
      <c r="K466" s="6"/>
      <c r="N466" s="6"/>
      <c r="O466" s="6"/>
    </row>
    <row r="467" spans="11:15">
      <c r="K467" s="6"/>
      <c r="N467" s="6"/>
      <c r="O467" s="6"/>
    </row>
    <row r="468" spans="11:15">
      <c r="K468" s="6"/>
      <c r="N468" s="6"/>
      <c r="O468" s="6"/>
    </row>
    <row r="469" spans="11:15">
      <c r="K469" s="6"/>
      <c r="N469" s="6"/>
      <c r="O469" s="6"/>
    </row>
    <row r="470" spans="11:15">
      <c r="K470" s="6"/>
      <c r="N470" s="6"/>
      <c r="O470" s="6"/>
    </row>
    <row r="471" spans="11:15">
      <c r="K471" s="6"/>
      <c r="N471" s="6"/>
      <c r="O471" s="6"/>
    </row>
    <row r="472" spans="11:15">
      <c r="K472" s="6"/>
      <c r="N472" s="6"/>
      <c r="O472" s="6"/>
    </row>
    <row r="473" spans="11:15">
      <c r="K473" s="6"/>
      <c r="N473" s="6"/>
      <c r="O473" s="6"/>
    </row>
    <row r="474" spans="11:15">
      <c r="K474" s="6"/>
      <c r="N474" s="6"/>
      <c r="O474" s="6"/>
    </row>
    <row r="475" spans="11:15">
      <c r="K475" s="6"/>
      <c r="N475" s="6"/>
      <c r="O475" s="6"/>
    </row>
    <row r="476" spans="11:15">
      <c r="K476" s="6"/>
      <c r="N476" s="6"/>
      <c r="O476" s="6"/>
    </row>
    <row r="477" spans="11:15">
      <c r="K477" s="6"/>
      <c r="N477" s="6"/>
      <c r="O477" s="6"/>
    </row>
    <row r="478" spans="11:15">
      <c r="K478" s="6"/>
      <c r="N478" s="6"/>
      <c r="O478" s="6"/>
    </row>
    <row r="479" spans="11:15">
      <c r="K479" s="6"/>
      <c r="N479" s="6"/>
      <c r="O479" s="6"/>
    </row>
    <row r="480" spans="11:15">
      <c r="K480" s="6"/>
      <c r="N480" s="6"/>
      <c r="O480" s="6"/>
    </row>
    <row r="481" spans="11:15">
      <c r="K481" s="6"/>
      <c r="N481" s="6"/>
      <c r="O481" s="6"/>
    </row>
    <row r="482" spans="11:15">
      <c r="K482" s="6"/>
      <c r="N482" s="6"/>
      <c r="O482" s="6"/>
    </row>
    <row r="483" spans="11:15">
      <c r="K483" s="6"/>
      <c r="N483" s="6"/>
      <c r="O483" s="6"/>
    </row>
    <row r="484" spans="11:15">
      <c r="K484" s="6"/>
      <c r="N484" s="6"/>
      <c r="O484" s="6"/>
    </row>
    <row r="485" spans="11:15">
      <c r="K485" s="6"/>
      <c r="N485" s="6"/>
      <c r="O485" s="6"/>
    </row>
    <row r="486" spans="11:15">
      <c r="K486" s="6"/>
      <c r="N486" s="6"/>
      <c r="O486" s="6"/>
    </row>
    <row r="487" spans="11:15">
      <c r="K487" s="6"/>
      <c r="N487" s="6"/>
      <c r="O487" s="6"/>
    </row>
    <row r="488" spans="11:15">
      <c r="K488" s="6"/>
      <c r="N488" s="6"/>
      <c r="O488" s="6"/>
    </row>
    <row r="489" spans="11:15">
      <c r="K489" s="6"/>
      <c r="N489" s="6"/>
      <c r="O489" s="6"/>
    </row>
    <row r="490" spans="11:15">
      <c r="K490" s="6"/>
      <c r="O490" s="140"/>
    </row>
    <row r="491" spans="11:15">
      <c r="K491" s="6"/>
      <c r="O491" s="140"/>
    </row>
    <row r="492" spans="11:15">
      <c r="K492" s="6"/>
      <c r="O492" s="140"/>
    </row>
    <row r="493" spans="11:15">
      <c r="K493" s="6"/>
      <c r="O493" s="140"/>
    </row>
    <row r="494" spans="11:15">
      <c r="K494" s="6"/>
      <c r="O494" s="140"/>
    </row>
    <row r="495" spans="11:15">
      <c r="K495" s="6"/>
      <c r="O495" s="140"/>
    </row>
    <row r="496" spans="11:15">
      <c r="K496" s="6"/>
      <c r="O496" s="140"/>
    </row>
    <row r="497" spans="11:15">
      <c r="K497" s="6"/>
      <c r="O497" s="140"/>
    </row>
    <row r="498" spans="11:15">
      <c r="K498" s="6"/>
      <c r="O498" s="140"/>
    </row>
    <row r="499" spans="11:15">
      <c r="K499" s="6"/>
      <c r="O499" s="140"/>
    </row>
    <row r="500" spans="11:15">
      <c r="K500" s="6"/>
      <c r="O500" s="140"/>
    </row>
    <row r="501" spans="11:15">
      <c r="K501" s="6"/>
      <c r="O501" s="140"/>
    </row>
    <row r="502" spans="11:15">
      <c r="K502" s="6"/>
      <c r="O502" s="140"/>
    </row>
    <row r="503" spans="11:15">
      <c r="K503" s="6"/>
      <c r="O503" s="140"/>
    </row>
    <row r="504" spans="11:15">
      <c r="K504" s="6"/>
      <c r="O504" s="140"/>
    </row>
    <row r="505" spans="11:15">
      <c r="K505" s="6"/>
      <c r="O505" s="140"/>
    </row>
    <row r="506" spans="11:15">
      <c r="K506" s="6"/>
      <c r="O506" s="140"/>
    </row>
    <row r="507" spans="11:15">
      <c r="K507" s="6"/>
      <c r="O507" s="140"/>
    </row>
    <row r="508" spans="11:15">
      <c r="K508" s="6"/>
      <c r="O508" s="140"/>
    </row>
    <row r="509" spans="11:15">
      <c r="K509" s="6"/>
      <c r="O509" s="140"/>
    </row>
    <row r="510" spans="11:15">
      <c r="K510" s="6"/>
      <c r="O510" s="140"/>
    </row>
    <row r="511" spans="11:15">
      <c r="K511" s="6"/>
      <c r="O511" s="140"/>
    </row>
    <row r="512" spans="11:15">
      <c r="K512" s="6"/>
      <c r="O512" s="140"/>
    </row>
    <row r="513" spans="11:15">
      <c r="K513" s="6"/>
      <c r="O513" s="140"/>
    </row>
    <row r="514" spans="11:15">
      <c r="K514" s="6"/>
      <c r="O514" s="140"/>
    </row>
    <row r="515" spans="11:15">
      <c r="K515" s="6"/>
      <c r="O515" s="140"/>
    </row>
    <row r="516" spans="11:15">
      <c r="K516" s="6"/>
      <c r="O516" s="140"/>
    </row>
    <row r="517" spans="11:15">
      <c r="K517" s="6"/>
      <c r="O517" s="140"/>
    </row>
    <row r="518" spans="11:15">
      <c r="K518" s="6"/>
      <c r="O518" s="140"/>
    </row>
    <row r="519" spans="11:15">
      <c r="K519" s="6"/>
      <c r="O519" s="140"/>
    </row>
    <row r="520" spans="11:15">
      <c r="K520" s="6"/>
      <c r="O520" s="140"/>
    </row>
    <row r="521" spans="11:15">
      <c r="K521" s="6"/>
      <c r="O521" s="140"/>
    </row>
    <row r="522" spans="11:15">
      <c r="K522" s="6"/>
      <c r="O522" s="140"/>
    </row>
    <row r="523" spans="11:15">
      <c r="K523" s="6"/>
      <c r="O523" s="140"/>
    </row>
    <row r="524" spans="11:15">
      <c r="K524" s="6"/>
      <c r="O524" s="140"/>
    </row>
    <row r="525" spans="11:15">
      <c r="K525" s="6"/>
      <c r="O525" s="140"/>
    </row>
    <row r="526" spans="11:15">
      <c r="K526" s="6"/>
      <c r="O526" s="140"/>
    </row>
    <row r="527" spans="11:15">
      <c r="K527" s="6"/>
      <c r="O527" s="140"/>
    </row>
    <row r="528" spans="11:15">
      <c r="K528" s="6"/>
      <c r="O528" s="140"/>
    </row>
    <row r="529" spans="11:15">
      <c r="K529" s="6"/>
      <c r="O529" s="140"/>
    </row>
    <row r="530" spans="11:15">
      <c r="K530" s="6"/>
      <c r="O530" s="140"/>
    </row>
    <row r="531" spans="11:15">
      <c r="K531" s="6"/>
      <c r="O531" s="140"/>
    </row>
    <row r="532" spans="11:15">
      <c r="K532" s="6"/>
      <c r="O532" s="140"/>
    </row>
    <row r="533" spans="11:15">
      <c r="K533" s="6"/>
      <c r="O533" s="140"/>
    </row>
    <row r="534" spans="11:15">
      <c r="K534" s="6"/>
      <c r="O534" s="140"/>
    </row>
    <row r="535" spans="11:15">
      <c r="K535" s="6"/>
      <c r="O535" s="140"/>
    </row>
    <row r="536" spans="11:15">
      <c r="K536" s="6"/>
      <c r="O536" s="140"/>
    </row>
    <row r="537" spans="11:15">
      <c r="K537" s="6"/>
      <c r="O537" s="140"/>
    </row>
    <row r="538" spans="11:15">
      <c r="K538" s="6"/>
      <c r="O538" s="140"/>
    </row>
    <row r="539" spans="11:15">
      <c r="K539" s="6"/>
      <c r="O539" s="140"/>
    </row>
    <row r="540" spans="11:15">
      <c r="K540" s="6"/>
      <c r="O540" s="140"/>
    </row>
    <row r="541" spans="11:15">
      <c r="K541" s="6"/>
      <c r="O541" s="140"/>
    </row>
    <row r="542" spans="11:15">
      <c r="K542" s="6"/>
      <c r="O542" s="140"/>
    </row>
    <row r="543" spans="11:15">
      <c r="K543" s="6"/>
      <c r="O543" s="140"/>
    </row>
    <row r="544" spans="11:15">
      <c r="K544" s="6"/>
      <c r="O544" s="140"/>
    </row>
    <row r="545" spans="11:15">
      <c r="K545" s="6"/>
      <c r="O545" s="140"/>
    </row>
    <row r="546" spans="11:15">
      <c r="K546" s="6"/>
      <c r="O546" s="140"/>
    </row>
    <row r="547" spans="11:15">
      <c r="K547" s="6"/>
      <c r="O547" s="140"/>
    </row>
    <row r="548" spans="11:15">
      <c r="K548" s="6"/>
      <c r="O548" s="140"/>
    </row>
    <row r="549" spans="11:15">
      <c r="K549" s="6"/>
      <c r="O549" s="140"/>
    </row>
    <row r="550" spans="11:15">
      <c r="K550" s="6"/>
      <c r="O550" s="140"/>
    </row>
    <row r="551" spans="11:15">
      <c r="K551" s="6"/>
      <c r="O551" s="140"/>
    </row>
    <row r="552" spans="11:15">
      <c r="K552" s="6"/>
      <c r="O552" s="140"/>
    </row>
    <row r="553" spans="11:15">
      <c r="K553" s="6"/>
      <c r="O553" s="140"/>
    </row>
    <row r="554" spans="11:15">
      <c r="K554" s="6"/>
      <c r="O554" s="140"/>
    </row>
    <row r="555" spans="11:15">
      <c r="K555" s="6"/>
      <c r="O555" s="140"/>
    </row>
    <row r="556" spans="11:15">
      <c r="K556" s="6"/>
      <c r="O556" s="140"/>
    </row>
    <row r="557" spans="11:15">
      <c r="K557" s="6"/>
      <c r="O557" s="140"/>
    </row>
    <row r="558" spans="11:15">
      <c r="K558" s="6"/>
      <c r="O558" s="140"/>
    </row>
    <row r="559" spans="11:15">
      <c r="K559" s="6"/>
      <c r="O559" s="140"/>
    </row>
    <row r="560" spans="11:15">
      <c r="K560" s="6"/>
      <c r="O560" s="140"/>
    </row>
    <row r="561" spans="11:15">
      <c r="K561" s="6"/>
      <c r="O561" s="140"/>
    </row>
    <row r="562" spans="11:15">
      <c r="K562" s="6"/>
      <c r="O562" s="140"/>
    </row>
    <row r="563" spans="11:15">
      <c r="K563" s="6"/>
      <c r="O563" s="140"/>
    </row>
    <row r="564" spans="11:15">
      <c r="K564" s="6"/>
      <c r="O564" s="140"/>
    </row>
    <row r="565" spans="11:15">
      <c r="K565" s="6"/>
      <c r="O565" s="140"/>
    </row>
    <row r="566" spans="11:15">
      <c r="K566" s="6"/>
      <c r="O566" s="140"/>
    </row>
    <row r="567" spans="11:15">
      <c r="K567" s="6"/>
      <c r="O567" s="140"/>
    </row>
    <row r="568" spans="11:15">
      <c r="K568" s="6"/>
      <c r="O568" s="140"/>
    </row>
    <row r="569" spans="11:15">
      <c r="K569" s="6"/>
      <c r="O569" s="140"/>
    </row>
    <row r="570" spans="11:15">
      <c r="K570" s="6"/>
      <c r="O570" s="140"/>
    </row>
    <row r="571" spans="11:15">
      <c r="K571" s="6"/>
      <c r="O571" s="140"/>
    </row>
    <row r="572" spans="11:15">
      <c r="K572" s="6"/>
      <c r="O572" s="140"/>
    </row>
    <row r="573" spans="11:15">
      <c r="K573" s="6"/>
      <c r="O573" s="140"/>
    </row>
    <row r="574" spans="11:15">
      <c r="K574" s="6"/>
      <c r="O574" s="140"/>
    </row>
    <row r="575" spans="11:15">
      <c r="K575" s="6"/>
      <c r="O575" s="140"/>
    </row>
    <row r="576" spans="11:15">
      <c r="K576" s="6"/>
      <c r="O576" s="140"/>
    </row>
    <row r="577" spans="11:15">
      <c r="K577" s="6"/>
      <c r="O577" s="140"/>
    </row>
    <row r="578" spans="11:15">
      <c r="K578" s="6"/>
      <c r="O578" s="140"/>
    </row>
    <row r="579" spans="11:15">
      <c r="K579" s="6"/>
      <c r="O579" s="140"/>
    </row>
    <row r="580" spans="11:15">
      <c r="K580" s="6"/>
      <c r="O580" s="140"/>
    </row>
    <row r="581" spans="11:15">
      <c r="K581" s="6"/>
      <c r="O581" s="140"/>
    </row>
    <row r="582" spans="11:15">
      <c r="K582" s="6"/>
      <c r="O582" s="140"/>
    </row>
    <row r="583" spans="11:15">
      <c r="K583" s="6"/>
      <c r="O583" s="140"/>
    </row>
    <row r="584" spans="11:15">
      <c r="K584" s="6"/>
      <c r="O584" s="140"/>
    </row>
    <row r="585" spans="11:15">
      <c r="K585" s="6"/>
      <c r="O585" s="140"/>
    </row>
    <row r="586" spans="11:15">
      <c r="K586" s="6"/>
      <c r="O586" s="140"/>
    </row>
    <row r="587" spans="11:15">
      <c r="K587" s="6"/>
      <c r="O587" s="140"/>
    </row>
    <row r="588" spans="11:15">
      <c r="K588" s="6"/>
      <c r="O588" s="140"/>
    </row>
    <row r="589" spans="11:15">
      <c r="K589" s="6"/>
      <c r="O589" s="140"/>
    </row>
    <row r="590" spans="11:15">
      <c r="K590" s="6"/>
      <c r="O590" s="140"/>
    </row>
    <row r="591" spans="11:15">
      <c r="K591" s="6"/>
      <c r="O591" s="140"/>
    </row>
    <row r="592" spans="11:15">
      <c r="K592" s="6"/>
      <c r="O592" s="140"/>
    </row>
    <row r="593" spans="11:15">
      <c r="K593" s="6"/>
      <c r="O593" s="140"/>
    </row>
    <row r="594" spans="11:15">
      <c r="K594" s="6"/>
      <c r="O594" s="140"/>
    </row>
    <row r="595" spans="11:15">
      <c r="K595" s="6"/>
      <c r="O595" s="140"/>
    </row>
    <row r="596" spans="11:15">
      <c r="K596" s="6"/>
      <c r="O596" s="140"/>
    </row>
    <row r="597" spans="11:15">
      <c r="K597" s="6"/>
      <c r="O597" s="140"/>
    </row>
    <row r="598" spans="11:15">
      <c r="K598" s="6"/>
      <c r="O598" s="140"/>
    </row>
    <row r="599" spans="11:15">
      <c r="K599" s="6"/>
      <c r="O599" s="140"/>
    </row>
    <row r="600" spans="11:15">
      <c r="K600" s="6"/>
      <c r="O600" s="140"/>
    </row>
    <row r="601" spans="11:15">
      <c r="K601" s="6"/>
      <c r="O601" s="140"/>
    </row>
    <row r="602" spans="11:15">
      <c r="K602" s="6"/>
      <c r="O602" s="140"/>
    </row>
    <row r="603" spans="11:15">
      <c r="K603" s="6"/>
      <c r="O603" s="140"/>
    </row>
    <row r="604" spans="11:15">
      <c r="K604" s="6"/>
      <c r="O604" s="140"/>
    </row>
    <row r="605" spans="11:15">
      <c r="K605" s="6"/>
      <c r="O605" s="140"/>
    </row>
    <row r="606" spans="11:15">
      <c r="K606" s="6"/>
      <c r="O606" s="140"/>
    </row>
    <row r="607" spans="11:15">
      <c r="K607" s="6"/>
      <c r="O607" s="140"/>
    </row>
    <row r="608" spans="11:15">
      <c r="K608" s="6"/>
      <c r="O608" s="140"/>
    </row>
    <row r="609" spans="11:15">
      <c r="K609" s="6"/>
      <c r="O609" s="140"/>
    </row>
    <row r="610" spans="11:15">
      <c r="K610" s="6"/>
      <c r="O610" s="140"/>
    </row>
    <row r="611" spans="11:15">
      <c r="K611" s="6"/>
      <c r="O611" s="140"/>
    </row>
    <row r="612" spans="11:15">
      <c r="K612" s="6"/>
      <c r="O612" s="140"/>
    </row>
    <row r="613" spans="11:15">
      <c r="K613" s="6"/>
      <c r="O613" s="140"/>
    </row>
    <row r="614" spans="11:15">
      <c r="K614" s="6"/>
      <c r="O614" s="140"/>
    </row>
    <row r="615" spans="11:15">
      <c r="K615" s="6"/>
      <c r="O615" s="140"/>
    </row>
    <row r="616" spans="11:15">
      <c r="K616" s="6"/>
      <c r="O616" s="140"/>
    </row>
    <row r="617" spans="11:15">
      <c r="K617" s="6"/>
      <c r="O617" s="140"/>
    </row>
    <row r="618" spans="11:15">
      <c r="K618" s="6"/>
      <c r="O618" s="140"/>
    </row>
    <row r="619" spans="11:15">
      <c r="K619" s="6"/>
      <c r="O619" s="140"/>
    </row>
    <row r="620" spans="11:15">
      <c r="K620" s="6"/>
      <c r="O620" s="140"/>
    </row>
    <row r="621" spans="11:15">
      <c r="K621" s="6"/>
      <c r="O621" s="140"/>
    </row>
    <row r="622" spans="11:15">
      <c r="K622" s="6"/>
      <c r="O622" s="140"/>
    </row>
    <row r="623" spans="11:15">
      <c r="K623" s="6"/>
      <c r="O623" s="140"/>
    </row>
    <row r="624" spans="11:15">
      <c r="K624" s="6"/>
      <c r="O624" s="140"/>
    </row>
    <row r="625" spans="11:15">
      <c r="K625" s="6"/>
      <c r="O625" s="140"/>
    </row>
    <row r="626" spans="11:15">
      <c r="K626" s="6"/>
      <c r="O626" s="140"/>
    </row>
    <row r="627" spans="11:15">
      <c r="K627" s="6"/>
      <c r="O627" s="140"/>
    </row>
    <row r="628" spans="11:15">
      <c r="K628" s="6"/>
      <c r="O628" s="140"/>
    </row>
    <row r="629" spans="11:15">
      <c r="K629" s="6"/>
      <c r="O629" s="140"/>
    </row>
    <row r="630" spans="11:15">
      <c r="K630" s="6"/>
      <c r="O630" s="140"/>
    </row>
    <row r="631" spans="11:15">
      <c r="K631" s="6"/>
      <c r="O631" s="140"/>
    </row>
    <row r="632" spans="11:15">
      <c r="K632" s="6"/>
      <c r="O632" s="140"/>
    </row>
    <row r="633" spans="11:15">
      <c r="K633" s="6"/>
      <c r="O633" s="140"/>
    </row>
    <row r="634" spans="11:15">
      <c r="K634" s="6"/>
      <c r="O634" s="140"/>
    </row>
    <row r="635" spans="11:15">
      <c r="K635" s="6"/>
      <c r="O635" s="140"/>
    </row>
    <row r="636" spans="11:15">
      <c r="K636" s="6"/>
      <c r="O636" s="140"/>
    </row>
    <row r="637" spans="11:15">
      <c r="K637" s="6"/>
      <c r="O637" s="140"/>
    </row>
    <row r="638" spans="11:15">
      <c r="K638" s="6"/>
      <c r="O638" s="140"/>
    </row>
    <row r="639" spans="11:15">
      <c r="K639" s="6"/>
      <c r="O639" s="140"/>
    </row>
    <row r="640" spans="11:15">
      <c r="K640" s="6"/>
      <c r="O640" s="140"/>
    </row>
    <row r="641" spans="11:15">
      <c r="K641" s="6"/>
      <c r="O641" s="140"/>
    </row>
    <row r="642" spans="11:15">
      <c r="K642" s="6"/>
      <c r="O642" s="140"/>
    </row>
    <row r="643" spans="11:15">
      <c r="K643" s="6"/>
      <c r="O643" s="140"/>
    </row>
    <row r="644" spans="11:15">
      <c r="K644" s="6"/>
      <c r="O644" s="140"/>
    </row>
    <row r="645" spans="11:15">
      <c r="K645" s="6"/>
      <c r="O645" s="140"/>
    </row>
    <row r="646" spans="11:15">
      <c r="K646" s="6"/>
      <c r="O646" s="140"/>
    </row>
    <row r="647" spans="11:15">
      <c r="K647" s="6"/>
      <c r="O647" s="140"/>
    </row>
    <row r="648" spans="11:15">
      <c r="K648" s="6"/>
      <c r="O648" s="140"/>
    </row>
    <row r="649" spans="11:15">
      <c r="K649" s="6"/>
      <c r="O649" s="140"/>
    </row>
    <row r="650" spans="11:15">
      <c r="K650" s="6"/>
      <c r="O650" s="140"/>
    </row>
    <row r="651" spans="11:15">
      <c r="K651" s="6"/>
      <c r="O651" s="140"/>
    </row>
    <row r="652" spans="11:15">
      <c r="K652" s="6"/>
      <c r="O652" s="140"/>
    </row>
    <row r="653" spans="11:15">
      <c r="K653" s="6"/>
      <c r="O653" s="140"/>
    </row>
    <row r="654" spans="11:15">
      <c r="K654" s="6"/>
      <c r="O654" s="140"/>
    </row>
    <row r="655" spans="11:15">
      <c r="K655" s="6"/>
      <c r="O655" s="140"/>
    </row>
    <row r="656" spans="11:15">
      <c r="K656" s="6"/>
      <c r="O656" s="140"/>
    </row>
    <row r="657" spans="11:15">
      <c r="K657" s="6"/>
      <c r="O657" s="140"/>
    </row>
    <row r="658" spans="11:15">
      <c r="K658" s="6"/>
      <c r="O658" s="140"/>
    </row>
    <row r="659" spans="11:15">
      <c r="K659" s="6"/>
      <c r="O659" s="140"/>
    </row>
    <row r="660" spans="11:15">
      <c r="K660" s="6"/>
      <c r="O660" s="140"/>
    </row>
    <row r="661" spans="11:15">
      <c r="K661" s="6"/>
      <c r="O661" s="140"/>
    </row>
    <row r="662" spans="11:15">
      <c r="K662" s="6"/>
      <c r="O662" s="140"/>
    </row>
    <row r="663" spans="11:15">
      <c r="K663" s="6"/>
      <c r="O663" s="140"/>
    </row>
    <row r="664" spans="11:15">
      <c r="K664" s="6"/>
      <c r="O664" s="140"/>
    </row>
    <row r="665" spans="11:15">
      <c r="K665" s="6"/>
      <c r="O665" s="140"/>
    </row>
    <row r="666" spans="11:15">
      <c r="K666" s="6"/>
      <c r="O666" s="140"/>
    </row>
    <row r="667" spans="11:15">
      <c r="K667" s="6"/>
      <c r="O667" s="140"/>
    </row>
    <row r="668" spans="11:15">
      <c r="K668" s="6"/>
      <c r="O668" s="140"/>
    </row>
    <row r="669" spans="11:15">
      <c r="K669" s="6"/>
      <c r="O669" s="140"/>
    </row>
    <row r="670" spans="11:15">
      <c r="K670" s="6"/>
      <c r="O670" s="140"/>
    </row>
    <row r="671" spans="11:15">
      <c r="K671" s="6"/>
      <c r="O671" s="140"/>
    </row>
    <row r="672" spans="11:15">
      <c r="K672" s="6"/>
      <c r="O672" s="140"/>
    </row>
    <row r="673" spans="11:15">
      <c r="K673" s="6"/>
      <c r="O673" s="140"/>
    </row>
    <row r="674" spans="11:15">
      <c r="K674" s="6"/>
      <c r="O674" s="140"/>
    </row>
    <row r="675" spans="11:15">
      <c r="K675" s="6"/>
      <c r="O675" s="140"/>
    </row>
    <row r="676" spans="11:15">
      <c r="K676" s="6"/>
      <c r="O676" s="140"/>
    </row>
    <row r="677" spans="11:15">
      <c r="K677" s="6"/>
      <c r="O677" s="140"/>
    </row>
    <row r="678" spans="11:15">
      <c r="K678" s="6"/>
      <c r="O678" s="140"/>
    </row>
    <row r="679" spans="11:15">
      <c r="K679" s="6"/>
      <c r="O679" s="140"/>
    </row>
    <row r="680" spans="11:15">
      <c r="K680" s="6"/>
      <c r="O680" s="140"/>
    </row>
    <row r="681" spans="11:15">
      <c r="K681" s="6"/>
      <c r="O681" s="140"/>
    </row>
    <row r="682" spans="11:15">
      <c r="K682" s="6"/>
      <c r="O682" s="140"/>
    </row>
    <row r="683" spans="11:15">
      <c r="K683" s="6"/>
      <c r="O683" s="140"/>
    </row>
    <row r="684" spans="11:15">
      <c r="K684" s="6"/>
      <c r="O684" s="140"/>
    </row>
    <row r="685" spans="11:15">
      <c r="K685" s="6"/>
      <c r="O685" s="140"/>
    </row>
    <row r="686" spans="11:15">
      <c r="K686" s="6"/>
      <c r="O686" s="140"/>
    </row>
    <row r="687" spans="11:15">
      <c r="K687" s="6"/>
      <c r="O687" s="140"/>
    </row>
    <row r="688" spans="11:15">
      <c r="K688" s="6"/>
      <c r="O688" s="140"/>
    </row>
    <row r="689" spans="11:15">
      <c r="K689" s="6"/>
      <c r="O689" s="140"/>
    </row>
    <row r="690" spans="11:15">
      <c r="K690" s="6"/>
      <c r="O690" s="140"/>
    </row>
    <row r="691" spans="11:15">
      <c r="K691" s="6"/>
      <c r="O691" s="140"/>
    </row>
    <row r="692" spans="11:15">
      <c r="K692" s="6"/>
      <c r="O692" s="140"/>
    </row>
    <row r="693" spans="11:15">
      <c r="K693" s="6"/>
      <c r="O693" s="140"/>
    </row>
    <row r="694" spans="11:15">
      <c r="K694" s="6"/>
      <c r="O694" s="140"/>
    </row>
    <row r="695" spans="11:15">
      <c r="K695" s="6"/>
      <c r="O695" s="140"/>
    </row>
    <row r="696" spans="11:15">
      <c r="K696" s="6"/>
      <c r="O696" s="140"/>
    </row>
    <row r="697" spans="11:15">
      <c r="K697" s="6"/>
      <c r="O697" s="140"/>
    </row>
    <row r="698" spans="11:15">
      <c r="K698" s="6"/>
      <c r="O698" s="140"/>
    </row>
    <row r="699" spans="11:15">
      <c r="K699" s="6"/>
      <c r="O699" s="140"/>
    </row>
    <row r="700" spans="11:15">
      <c r="K700" s="6"/>
      <c r="O700" s="140"/>
    </row>
    <row r="701" spans="11:15">
      <c r="K701" s="6"/>
      <c r="O701" s="140"/>
    </row>
    <row r="702" spans="11:15">
      <c r="K702" s="6"/>
      <c r="O702" s="140"/>
    </row>
    <row r="703" spans="11:15">
      <c r="K703" s="6"/>
      <c r="O703" s="140"/>
    </row>
    <row r="704" spans="11:15">
      <c r="K704" s="6"/>
      <c r="O704" s="140"/>
    </row>
    <row r="705" spans="11:15">
      <c r="K705" s="6"/>
      <c r="O705" s="140"/>
    </row>
    <row r="706" spans="11:15">
      <c r="K706" s="6"/>
      <c r="O706" s="140"/>
    </row>
    <row r="707" spans="11:15">
      <c r="K707" s="6"/>
      <c r="O707" s="140"/>
    </row>
    <row r="708" spans="11:15">
      <c r="K708" s="6"/>
      <c r="O708" s="140"/>
    </row>
    <row r="709" spans="11:15">
      <c r="K709" s="6"/>
      <c r="O709" s="140"/>
    </row>
    <row r="710" spans="11:15">
      <c r="K710" s="6"/>
      <c r="O710" s="140"/>
    </row>
    <row r="711" spans="11:15">
      <c r="K711" s="6"/>
      <c r="O711" s="140"/>
    </row>
    <row r="712" spans="11:15">
      <c r="K712" s="6"/>
      <c r="O712" s="140"/>
    </row>
    <row r="713" spans="11:15">
      <c r="K713" s="6"/>
      <c r="O713" s="140"/>
    </row>
    <row r="714" spans="11:15">
      <c r="K714" s="6"/>
      <c r="O714" s="140"/>
    </row>
    <row r="715" spans="11:15">
      <c r="K715" s="6"/>
      <c r="O715" s="140"/>
    </row>
    <row r="716" spans="11:15">
      <c r="K716" s="6"/>
      <c r="O716" s="140"/>
    </row>
    <row r="717" spans="11:15">
      <c r="K717" s="6"/>
      <c r="O717" s="140"/>
    </row>
    <row r="718" spans="11:15">
      <c r="K718" s="6"/>
      <c r="O718" s="140"/>
    </row>
    <row r="719" spans="11:15">
      <c r="K719" s="6"/>
      <c r="O719" s="140"/>
    </row>
    <row r="720" spans="11:15">
      <c r="K720" s="6"/>
      <c r="O720" s="140"/>
    </row>
    <row r="721" spans="11:15">
      <c r="K721" s="6"/>
      <c r="O721" s="140"/>
    </row>
    <row r="722" spans="11:15">
      <c r="K722" s="6"/>
      <c r="O722" s="140"/>
    </row>
    <row r="723" spans="11:15">
      <c r="K723" s="6"/>
      <c r="O723" s="140"/>
    </row>
    <row r="724" spans="11:15">
      <c r="K724" s="6"/>
      <c r="O724" s="140"/>
    </row>
    <row r="725" spans="11:15">
      <c r="K725" s="6"/>
      <c r="O725" s="140"/>
    </row>
    <row r="726" spans="11:15">
      <c r="K726" s="6"/>
      <c r="O726" s="140"/>
    </row>
    <row r="727" spans="11:15">
      <c r="K727" s="6"/>
      <c r="O727" s="140"/>
    </row>
    <row r="728" spans="11:15">
      <c r="K728" s="6"/>
      <c r="O728" s="140"/>
    </row>
    <row r="729" spans="11:15">
      <c r="K729" s="6"/>
      <c r="O729" s="140"/>
    </row>
    <row r="730" spans="11:15">
      <c r="K730" s="6"/>
      <c r="O730" s="140"/>
    </row>
    <row r="731" spans="11:15">
      <c r="K731" s="6"/>
      <c r="O731" s="140"/>
    </row>
    <row r="732" spans="11:15">
      <c r="K732" s="6"/>
      <c r="O732" s="140"/>
    </row>
    <row r="733" spans="11:15">
      <c r="K733" s="6"/>
      <c r="O733" s="140"/>
    </row>
    <row r="734" spans="11:15">
      <c r="K734" s="6"/>
      <c r="O734" s="140"/>
    </row>
    <row r="735" spans="11:15">
      <c r="K735" s="6"/>
      <c r="O735" s="140"/>
    </row>
    <row r="736" spans="11:15">
      <c r="K736" s="6"/>
      <c r="O736" s="140"/>
    </row>
    <row r="737" spans="11:15">
      <c r="K737" s="6"/>
      <c r="O737" s="140"/>
    </row>
    <row r="738" spans="11:15">
      <c r="K738" s="6"/>
      <c r="O738" s="140"/>
    </row>
    <row r="739" spans="11:15">
      <c r="K739" s="6"/>
      <c r="O739" s="140"/>
    </row>
    <row r="740" spans="11:15">
      <c r="K740" s="6"/>
      <c r="O740" s="140"/>
    </row>
    <row r="741" spans="11:15">
      <c r="K741" s="6"/>
      <c r="O741" s="140"/>
    </row>
    <row r="742" spans="11:15">
      <c r="K742" s="6"/>
      <c r="O742" s="140"/>
    </row>
    <row r="743" spans="11:15">
      <c r="K743" s="6"/>
      <c r="O743" s="140"/>
    </row>
    <row r="744" spans="11:15">
      <c r="K744" s="6"/>
      <c r="O744" s="140"/>
    </row>
    <row r="745" spans="11:15">
      <c r="K745" s="6"/>
      <c r="O745" s="140"/>
    </row>
    <row r="746" spans="11:15">
      <c r="K746" s="6"/>
      <c r="O746" s="140"/>
    </row>
    <row r="747" spans="11:15">
      <c r="K747" s="6"/>
      <c r="O747" s="140"/>
    </row>
    <row r="748" spans="11:15">
      <c r="K748" s="6"/>
      <c r="O748" s="140"/>
    </row>
    <row r="749" spans="11:15">
      <c r="K749" s="6"/>
      <c r="O749" s="140"/>
    </row>
    <row r="750" spans="11:15">
      <c r="K750" s="6"/>
      <c r="O750" s="140"/>
    </row>
    <row r="751" spans="11:15">
      <c r="K751" s="6"/>
      <c r="O751" s="140"/>
    </row>
    <row r="752" spans="11:15">
      <c r="K752" s="6"/>
      <c r="O752" s="140"/>
    </row>
    <row r="753" spans="11:15">
      <c r="K753" s="6"/>
      <c r="O753" s="140"/>
    </row>
    <row r="754" spans="11:15">
      <c r="K754" s="6"/>
      <c r="O754" s="140"/>
    </row>
    <row r="755" spans="11:15">
      <c r="K755" s="6"/>
      <c r="O755" s="140"/>
    </row>
    <row r="756" spans="11:15">
      <c r="K756" s="6"/>
      <c r="O756" s="140"/>
    </row>
    <row r="757" spans="11:15">
      <c r="K757" s="6"/>
      <c r="O757" s="140"/>
    </row>
    <row r="758" spans="11:15">
      <c r="K758" s="6"/>
      <c r="O758" s="140"/>
    </row>
    <row r="759" spans="11:15">
      <c r="K759" s="6"/>
      <c r="O759" s="140"/>
    </row>
    <row r="760" spans="11:15">
      <c r="K760" s="6"/>
      <c r="O760" s="140"/>
    </row>
    <row r="761" spans="11:15">
      <c r="K761" s="6"/>
      <c r="O761" s="140"/>
    </row>
    <row r="762" spans="11:15">
      <c r="K762" s="6"/>
      <c r="O762" s="140"/>
    </row>
    <row r="763" spans="11:15">
      <c r="K763" s="6"/>
      <c r="O763" s="140"/>
    </row>
    <row r="764" spans="11:15">
      <c r="K764" s="6"/>
      <c r="O764" s="140"/>
    </row>
    <row r="765" spans="11:15">
      <c r="K765" s="6"/>
      <c r="O765" s="140"/>
    </row>
    <row r="766" spans="11:15">
      <c r="K766" s="6"/>
      <c r="O766" s="140"/>
    </row>
    <row r="767" spans="11:15">
      <c r="K767" s="6"/>
      <c r="O767" s="140"/>
    </row>
    <row r="768" spans="11:15">
      <c r="K768" s="6"/>
      <c r="O768" s="140"/>
    </row>
    <row r="769" spans="11:15">
      <c r="K769" s="6"/>
      <c r="O769" s="140"/>
    </row>
    <row r="770" spans="11:15">
      <c r="K770" s="6"/>
      <c r="O770" s="140"/>
    </row>
    <row r="771" spans="11:15">
      <c r="K771" s="6"/>
      <c r="O771" s="140"/>
    </row>
    <row r="772" spans="11:15">
      <c r="O772" s="140"/>
    </row>
    <row r="773" spans="11:15">
      <c r="O773" s="140"/>
    </row>
    <row r="774" spans="11:15">
      <c r="O774" s="140"/>
    </row>
    <row r="775" spans="11:15">
      <c r="O775" s="140"/>
    </row>
    <row r="776" spans="11:15">
      <c r="O776" s="140"/>
    </row>
    <row r="777" spans="11:15">
      <c r="O777" s="140"/>
    </row>
    <row r="778" spans="11:15">
      <c r="O778" s="140"/>
    </row>
    <row r="779" spans="11:15">
      <c r="O779" s="140"/>
    </row>
    <row r="780" spans="11:15">
      <c r="O780" s="140"/>
    </row>
    <row r="781" spans="11:15">
      <c r="O781" s="140"/>
    </row>
    <row r="782" spans="11:15">
      <c r="O782" s="140"/>
    </row>
    <row r="783" spans="11:15">
      <c r="O783" s="140"/>
    </row>
    <row r="784" spans="11:15">
      <c r="O784" s="140"/>
    </row>
    <row r="785" spans="15:15">
      <c r="O785" s="140"/>
    </row>
    <row r="786" spans="15:15">
      <c r="O786" s="140"/>
    </row>
    <row r="787" spans="15:15">
      <c r="O787" s="140"/>
    </row>
    <row r="788" spans="15:15">
      <c r="O788" s="140"/>
    </row>
    <row r="789" spans="15:15">
      <c r="O789" s="140"/>
    </row>
    <row r="790" spans="15:15">
      <c r="O790" s="140"/>
    </row>
    <row r="791" spans="15:15">
      <c r="O791" s="140"/>
    </row>
    <row r="792" spans="15:15">
      <c r="O792" s="140"/>
    </row>
    <row r="793" spans="15:15">
      <c r="O793" s="140"/>
    </row>
    <row r="794" spans="15:15">
      <c r="O794" s="140"/>
    </row>
    <row r="795" spans="15:15">
      <c r="O795" s="140"/>
    </row>
    <row r="796" spans="15:15">
      <c r="O796" s="140"/>
    </row>
    <row r="797" spans="15:15">
      <c r="O797" s="140"/>
    </row>
    <row r="798" spans="15:15">
      <c r="O798" s="140"/>
    </row>
    <row r="799" spans="15:15">
      <c r="O799" s="140"/>
    </row>
    <row r="800" spans="15:15">
      <c r="O800" s="140"/>
    </row>
    <row r="801" spans="15:15">
      <c r="O801" s="140"/>
    </row>
    <row r="802" spans="15:15">
      <c r="O802" s="140"/>
    </row>
    <row r="803" spans="15:15">
      <c r="O803" s="140"/>
    </row>
    <row r="804" spans="15:15">
      <c r="O804" s="140"/>
    </row>
    <row r="805" spans="15:15">
      <c r="O805" s="140"/>
    </row>
    <row r="806" spans="15:15">
      <c r="O806" s="140"/>
    </row>
    <row r="807" spans="15:15">
      <c r="O807" s="140"/>
    </row>
    <row r="808" spans="15:15">
      <c r="O808" s="140"/>
    </row>
    <row r="809" spans="15:15">
      <c r="O809" s="140"/>
    </row>
    <row r="810" spans="15:15">
      <c r="O810" s="140"/>
    </row>
    <row r="811" spans="15:15">
      <c r="O811" s="140"/>
    </row>
    <row r="812" spans="15:15">
      <c r="O812" s="140"/>
    </row>
    <row r="813" spans="15:15">
      <c r="O813" s="140"/>
    </row>
    <row r="814" spans="15:15">
      <c r="O814" s="140"/>
    </row>
    <row r="815" spans="15:15">
      <c r="O815" s="140"/>
    </row>
    <row r="816" spans="15:15">
      <c r="O816" s="140"/>
    </row>
    <row r="817" spans="15:15">
      <c r="O817" s="140"/>
    </row>
    <row r="818" spans="15:15">
      <c r="O818" s="140"/>
    </row>
    <row r="819" spans="15:15">
      <c r="O819" s="140"/>
    </row>
    <row r="820" spans="15:15">
      <c r="O820" s="140"/>
    </row>
    <row r="821" spans="15:15">
      <c r="O821" s="140"/>
    </row>
    <row r="822" spans="15:15">
      <c r="O822" s="140"/>
    </row>
    <row r="823" spans="15:15">
      <c r="O823" s="140"/>
    </row>
    <row r="824" spans="15:15">
      <c r="O824" s="140"/>
    </row>
    <row r="825" spans="15:15">
      <c r="O825" s="140"/>
    </row>
    <row r="826" spans="15:15">
      <c r="O826" s="140"/>
    </row>
    <row r="827" spans="15:15">
      <c r="O827" s="140"/>
    </row>
    <row r="828" spans="15:15">
      <c r="O828" s="140"/>
    </row>
    <row r="829" spans="15:15">
      <c r="O829" s="140"/>
    </row>
    <row r="830" spans="15:15">
      <c r="O830" s="140"/>
    </row>
    <row r="831" spans="15:15">
      <c r="O831" s="140"/>
    </row>
    <row r="832" spans="15:15">
      <c r="O832" s="140"/>
    </row>
    <row r="833" spans="15:15">
      <c r="O833" s="140"/>
    </row>
    <row r="834" spans="15:15">
      <c r="O834" s="140"/>
    </row>
    <row r="835" spans="15:15">
      <c r="O835" s="140"/>
    </row>
    <row r="836" spans="15:15">
      <c r="O836" s="140"/>
    </row>
    <row r="837" spans="15:15">
      <c r="O837" s="140"/>
    </row>
    <row r="838" spans="15:15">
      <c r="O838" s="140"/>
    </row>
    <row r="839" spans="15:15">
      <c r="O839" s="140"/>
    </row>
    <row r="840" spans="15:15">
      <c r="O840" s="140"/>
    </row>
    <row r="841" spans="15:15">
      <c r="O841" s="140"/>
    </row>
    <row r="842" spans="15:15">
      <c r="O842" s="140"/>
    </row>
    <row r="843" spans="15:15">
      <c r="O843" s="140"/>
    </row>
    <row r="844" spans="15:15">
      <c r="O844" s="140"/>
    </row>
    <row r="845" spans="15:15">
      <c r="O845" s="140"/>
    </row>
    <row r="846" spans="15:15">
      <c r="O846" s="140"/>
    </row>
    <row r="847" spans="15:15">
      <c r="O847" s="140"/>
    </row>
    <row r="848" spans="15:15">
      <c r="O848" s="140"/>
    </row>
    <row r="849" spans="15:15">
      <c r="O849" s="140"/>
    </row>
    <row r="850" spans="15:15">
      <c r="O850" s="140"/>
    </row>
    <row r="851" spans="15:15">
      <c r="O851" s="140"/>
    </row>
    <row r="852" spans="15:15">
      <c r="O852" s="140"/>
    </row>
    <row r="853" spans="15:15">
      <c r="O853" s="140"/>
    </row>
    <row r="854" spans="15:15">
      <c r="O854" s="140"/>
    </row>
    <row r="855" spans="15:15">
      <c r="O855" s="140"/>
    </row>
    <row r="856" spans="15:15">
      <c r="O856" s="140"/>
    </row>
    <row r="857" spans="15:15">
      <c r="O857" s="140"/>
    </row>
    <row r="858" spans="15:15">
      <c r="O858" s="140"/>
    </row>
    <row r="859" spans="15:15">
      <c r="O859" s="140"/>
    </row>
    <row r="860" spans="15:15">
      <c r="O860" s="140"/>
    </row>
    <row r="861" spans="15:15">
      <c r="O861" s="140"/>
    </row>
    <row r="862" spans="15:15">
      <c r="O862" s="140"/>
    </row>
    <row r="863" spans="15:15">
      <c r="O863" s="140"/>
    </row>
    <row r="864" spans="15:15">
      <c r="O864" s="140"/>
    </row>
    <row r="865" spans="15:15">
      <c r="O865" s="140"/>
    </row>
    <row r="866" spans="15:15">
      <c r="O866" s="140"/>
    </row>
    <row r="867" spans="15:15">
      <c r="O867" s="140"/>
    </row>
    <row r="868" spans="15:15">
      <c r="O868" s="140"/>
    </row>
    <row r="869" spans="15:15">
      <c r="O869" s="140"/>
    </row>
    <row r="870" spans="15:15">
      <c r="O870" s="140"/>
    </row>
    <row r="871" spans="15:15">
      <c r="O871" s="140"/>
    </row>
    <row r="872" spans="15:15">
      <c r="O872" s="140"/>
    </row>
    <row r="873" spans="15:15">
      <c r="O873" s="140"/>
    </row>
    <row r="874" spans="15:15">
      <c r="O874" s="140"/>
    </row>
    <row r="875" spans="15:15">
      <c r="O875" s="140"/>
    </row>
    <row r="876" spans="15:15">
      <c r="O876" s="140"/>
    </row>
    <row r="877" spans="15:15">
      <c r="O877" s="140"/>
    </row>
    <row r="878" spans="15:15">
      <c r="O878" s="140"/>
    </row>
    <row r="879" spans="15:15">
      <c r="O879" s="140"/>
    </row>
    <row r="880" spans="15:15">
      <c r="O880" s="140"/>
    </row>
    <row r="881" spans="15:15">
      <c r="O881" s="140"/>
    </row>
    <row r="882" spans="15:15">
      <c r="O882" s="140"/>
    </row>
    <row r="883" spans="15:15">
      <c r="O883" s="140"/>
    </row>
    <row r="884" spans="15:15">
      <c r="O884" s="140"/>
    </row>
    <row r="885" spans="15:15">
      <c r="O885" s="140"/>
    </row>
    <row r="886" spans="15:15">
      <c r="O886" s="140"/>
    </row>
    <row r="887" spans="15:15">
      <c r="O887" s="140"/>
    </row>
    <row r="888" spans="15:15">
      <c r="O888" s="140"/>
    </row>
    <row r="889" spans="15:15">
      <c r="O889" s="140"/>
    </row>
    <row r="890" spans="15:15">
      <c r="O890" s="140"/>
    </row>
    <row r="891" spans="15:15">
      <c r="O891" s="140"/>
    </row>
    <row r="892" spans="15:15">
      <c r="O892" s="140"/>
    </row>
    <row r="893" spans="15:15">
      <c r="O893" s="140"/>
    </row>
    <row r="894" spans="15:15">
      <c r="O894" s="140"/>
    </row>
    <row r="895" spans="15:15">
      <c r="O895" s="140"/>
    </row>
    <row r="896" spans="15:15">
      <c r="O896" s="140"/>
    </row>
    <row r="897" spans="15:15">
      <c r="O897" s="140"/>
    </row>
    <row r="898" spans="15:15">
      <c r="O898" s="140"/>
    </row>
    <row r="899" spans="15:15">
      <c r="O899" s="140"/>
    </row>
    <row r="900" spans="15:15">
      <c r="O900" s="140"/>
    </row>
    <row r="901" spans="15:15">
      <c r="O901" s="140"/>
    </row>
    <row r="902" spans="15:15">
      <c r="O902" s="140"/>
    </row>
    <row r="903" spans="15:15">
      <c r="O903" s="140"/>
    </row>
    <row r="904" spans="15:15">
      <c r="O904" s="140"/>
    </row>
    <row r="905" spans="15:15">
      <c r="O905" s="140"/>
    </row>
    <row r="906" spans="15:15">
      <c r="O906" s="140"/>
    </row>
    <row r="907" spans="15:15">
      <c r="O907" s="140"/>
    </row>
    <row r="908" spans="15:15">
      <c r="O908" s="140"/>
    </row>
    <row r="909" spans="15:15">
      <c r="O909" s="140"/>
    </row>
    <row r="910" spans="15:15">
      <c r="O910" s="140"/>
    </row>
    <row r="911" spans="15:15">
      <c r="O911" s="140"/>
    </row>
    <row r="912" spans="15:15">
      <c r="O912" s="140"/>
    </row>
    <row r="913" spans="15:15">
      <c r="O913" s="140"/>
    </row>
    <row r="914" spans="15:15">
      <c r="O914" s="140"/>
    </row>
    <row r="915" spans="15:15">
      <c r="O915" s="140"/>
    </row>
    <row r="916" spans="15:15">
      <c r="O916" s="140"/>
    </row>
    <row r="917" spans="15:15">
      <c r="O917" s="140"/>
    </row>
    <row r="918" spans="15:15">
      <c r="O918" s="140"/>
    </row>
    <row r="919" spans="15:15">
      <c r="O919" s="140"/>
    </row>
    <row r="920" spans="15:15">
      <c r="O920" s="140"/>
    </row>
    <row r="921" spans="15:15">
      <c r="O921" s="140"/>
    </row>
    <row r="922" spans="15:15">
      <c r="O922" s="140"/>
    </row>
    <row r="923" spans="15:15">
      <c r="O923" s="140"/>
    </row>
    <row r="924" spans="15:15">
      <c r="O924" s="140"/>
    </row>
    <row r="925" spans="15:15">
      <c r="O925" s="140"/>
    </row>
    <row r="926" spans="15:15">
      <c r="O926" s="140"/>
    </row>
    <row r="927" spans="15:15">
      <c r="O927" s="140"/>
    </row>
    <row r="928" spans="15:15">
      <c r="O928" s="140"/>
    </row>
    <row r="929" spans="15:15">
      <c r="O929" s="140"/>
    </row>
    <row r="930" spans="15:15">
      <c r="O930" s="140"/>
    </row>
    <row r="931" spans="15:15">
      <c r="O931" s="140"/>
    </row>
    <row r="932" spans="15:15">
      <c r="O932" s="140"/>
    </row>
    <row r="933" spans="15:15">
      <c r="O933" s="140"/>
    </row>
    <row r="934" spans="15:15">
      <c r="O934" s="140"/>
    </row>
    <row r="935" spans="15:15">
      <c r="O935" s="140"/>
    </row>
    <row r="936" spans="15:15">
      <c r="O936" s="140"/>
    </row>
    <row r="937" spans="15:15">
      <c r="O937" s="140"/>
    </row>
    <row r="938" spans="15:15">
      <c r="O938" s="140"/>
    </row>
    <row r="939" spans="15:15">
      <c r="O939" s="140"/>
    </row>
    <row r="940" spans="15:15">
      <c r="O940" s="140"/>
    </row>
    <row r="941" spans="15:15">
      <c r="O941" s="140"/>
    </row>
    <row r="942" spans="15:15">
      <c r="O942" s="140"/>
    </row>
    <row r="943" spans="15:15">
      <c r="O943" s="140"/>
    </row>
    <row r="944" spans="15:15">
      <c r="O944" s="140"/>
    </row>
    <row r="945" spans="15:15">
      <c r="O945" s="140"/>
    </row>
    <row r="946" spans="15:15">
      <c r="O946" s="140"/>
    </row>
    <row r="947" spans="15:15">
      <c r="O947" s="140"/>
    </row>
    <row r="948" spans="15:15">
      <c r="O948" s="140"/>
    </row>
    <row r="949" spans="15:15">
      <c r="O949" s="140"/>
    </row>
    <row r="950" spans="15:15">
      <c r="O950" s="140"/>
    </row>
    <row r="951" spans="15:15">
      <c r="O951" s="140"/>
    </row>
    <row r="952" spans="15:15">
      <c r="O952" s="140"/>
    </row>
    <row r="953" spans="15:15">
      <c r="O953" s="140"/>
    </row>
    <row r="954" spans="15:15">
      <c r="O954" s="140"/>
    </row>
    <row r="955" spans="15:15">
      <c r="O955" s="140"/>
    </row>
    <row r="956" spans="15:15">
      <c r="O956" s="140"/>
    </row>
    <row r="957" spans="15:15">
      <c r="O957" s="140"/>
    </row>
    <row r="958" spans="15:15">
      <c r="O958" s="140"/>
    </row>
    <row r="959" spans="15:15">
      <c r="O959" s="140"/>
    </row>
    <row r="960" spans="15:15">
      <c r="O960" s="140"/>
    </row>
    <row r="961" spans="15:15">
      <c r="O961" s="140"/>
    </row>
    <row r="962" spans="15:15">
      <c r="O962" s="140"/>
    </row>
    <row r="963" spans="15:15">
      <c r="O963" s="140"/>
    </row>
    <row r="964" spans="15:15">
      <c r="O964" s="140"/>
    </row>
    <row r="965" spans="15:15">
      <c r="O965" s="140"/>
    </row>
    <row r="966" spans="15:15">
      <c r="O966" s="140"/>
    </row>
    <row r="967" spans="15:15">
      <c r="O967" s="140"/>
    </row>
    <row r="968" spans="15:15">
      <c r="O968" s="140"/>
    </row>
    <row r="969" spans="15:15">
      <c r="O969" s="140"/>
    </row>
    <row r="970" spans="15:15">
      <c r="O970" s="140"/>
    </row>
    <row r="971" spans="15:15">
      <c r="O971" s="140"/>
    </row>
    <row r="972" spans="15:15">
      <c r="O972" s="140"/>
    </row>
    <row r="973" spans="15:15">
      <c r="O973" s="140"/>
    </row>
    <row r="974" spans="15:15">
      <c r="O974" s="140"/>
    </row>
    <row r="975" spans="15:15">
      <c r="O975" s="140"/>
    </row>
    <row r="976" spans="15:15">
      <c r="O976" s="140"/>
    </row>
    <row r="977" spans="15:15">
      <c r="O977" s="140"/>
    </row>
    <row r="978" spans="15:15">
      <c r="O978" s="140"/>
    </row>
    <row r="979" spans="15:15">
      <c r="O979" s="140"/>
    </row>
    <row r="980" spans="15:15">
      <c r="O980" s="140"/>
    </row>
    <row r="981" spans="15:15">
      <c r="O981" s="140"/>
    </row>
    <row r="982" spans="15:15">
      <c r="O982" s="140"/>
    </row>
    <row r="983" spans="15:15">
      <c r="O983" s="140"/>
    </row>
    <row r="984" spans="15:15">
      <c r="O984" s="140"/>
    </row>
    <row r="985" spans="15:15">
      <c r="O985" s="140"/>
    </row>
    <row r="986" spans="15:15">
      <c r="O986" s="140"/>
    </row>
    <row r="987" spans="15:15">
      <c r="O987" s="140"/>
    </row>
    <row r="988" spans="15:15">
      <c r="O988" s="140"/>
    </row>
    <row r="989" spans="15:15">
      <c r="O989" s="140"/>
    </row>
    <row r="990" spans="15:15">
      <c r="O990" s="140"/>
    </row>
    <row r="991" spans="15:15">
      <c r="O991" s="140"/>
    </row>
    <row r="992" spans="15:15">
      <c r="O992" s="140"/>
    </row>
    <row r="993" spans="15:15">
      <c r="O993" s="140"/>
    </row>
    <row r="994" spans="15:15">
      <c r="O994" s="140"/>
    </row>
    <row r="995" spans="15:15">
      <c r="O995" s="140"/>
    </row>
    <row r="996" spans="15:15">
      <c r="O996" s="140"/>
    </row>
    <row r="997" spans="15:15">
      <c r="O997" s="140"/>
    </row>
    <row r="998" spans="15:15">
      <c r="O998" s="140"/>
    </row>
    <row r="999" spans="15:15">
      <c r="O999" s="140"/>
    </row>
    <row r="1000" spans="15:15">
      <c r="O1000" s="140"/>
    </row>
    <row r="1001" spans="15:15">
      <c r="O1001" s="140"/>
    </row>
    <row r="1002" spans="15:15">
      <c r="O1002" s="140"/>
    </row>
    <row r="1003" spans="15:15">
      <c r="O1003" s="140"/>
    </row>
    <row r="1004" spans="15:15">
      <c r="O1004" s="140"/>
    </row>
    <row r="1005" spans="15:15">
      <c r="O1005" s="140"/>
    </row>
    <row r="1006" spans="15:15">
      <c r="O1006" s="140"/>
    </row>
    <row r="1007" spans="15:15">
      <c r="O1007" s="140"/>
    </row>
    <row r="1008" spans="15:15">
      <c r="O1008" s="140"/>
    </row>
    <row r="1009" spans="15:15">
      <c r="O1009" s="140"/>
    </row>
    <row r="1010" spans="15:15">
      <c r="O1010" s="140"/>
    </row>
    <row r="1011" spans="15:15">
      <c r="O1011" s="140"/>
    </row>
    <row r="1012" spans="15:15">
      <c r="O1012" s="140"/>
    </row>
    <row r="1013" spans="15:15">
      <c r="O1013" s="140"/>
    </row>
    <row r="1014" spans="15:15">
      <c r="O1014" s="140"/>
    </row>
    <row r="1015" spans="15:15">
      <c r="O1015" s="140"/>
    </row>
    <row r="1016" spans="15:15">
      <c r="O1016" s="140"/>
    </row>
    <row r="1017" spans="15:15">
      <c r="O1017" s="140"/>
    </row>
    <row r="1018" spans="15:15">
      <c r="O1018" s="140"/>
    </row>
    <row r="1019" spans="15:15">
      <c r="O1019" s="140"/>
    </row>
    <row r="1020" spans="15:15">
      <c r="O1020" s="140"/>
    </row>
    <row r="1021" spans="15:15">
      <c r="O1021" s="140"/>
    </row>
    <row r="1022" spans="15:15">
      <c r="O1022" s="140"/>
    </row>
    <row r="1023" spans="15:15">
      <c r="O1023" s="140"/>
    </row>
    <row r="1024" spans="15:15">
      <c r="O1024" s="140"/>
    </row>
    <row r="1025" spans="15:15">
      <c r="O1025" s="140"/>
    </row>
    <row r="1026" spans="15:15">
      <c r="O1026" s="140"/>
    </row>
    <row r="1027" spans="15:15">
      <c r="O1027" s="140"/>
    </row>
    <row r="1028" spans="15:15">
      <c r="O1028" s="140"/>
    </row>
    <row r="1029" spans="15:15">
      <c r="O1029" s="140"/>
    </row>
    <row r="1030" spans="15:15">
      <c r="O1030" s="140"/>
    </row>
    <row r="1031" spans="15:15">
      <c r="O1031" s="140"/>
    </row>
    <row r="1032" spans="15:15">
      <c r="O1032" s="140"/>
    </row>
    <row r="1033" spans="15:15">
      <c r="O1033" s="140"/>
    </row>
    <row r="1034" spans="15:15">
      <c r="O1034" s="140"/>
    </row>
    <row r="1035" spans="15:15">
      <c r="O1035" s="140"/>
    </row>
    <row r="1036" spans="15:15">
      <c r="O1036" s="140"/>
    </row>
    <row r="1037" spans="15:15">
      <c r="O1037" s="140"/>
    </row>
    <row r="1038" spans="15:15">
      <c r="O1038" s="140"/>
    </row>
    <row r="1039" spans="15:15">
      <c r="O1039" s="140"/>
    </row>
    <row r="1040" spans="15:15">
      <c r="O1040" s="140"/>
    </row>
    <row r="1041" spans="15:15">
      <c r="O1041" s="140"/>
    </row>
    <row r="1042" spans="15:15">
      <c r="O1042" s="140"/>
    </row>
    <row r="1043" spans="15:15">
      <c r="O1043" s="140"/>
    </row>
    <row r="1044" spans="15:15">
      <c r="O1044" s="140"/>
    </row>
    <row r="1045" spans="15:15">
      <c r="O1045" s="140"/>
    </row>
    <row r="1046" spans="15:15">
      <c r="O1046" s="140"/>
    </row>
    <row r="1047" spans="15:15">
      <c r="O1047" s="140"/>
    </row>
    <row r="1048" spans="15:15">
      <c r="O1048" s="140"/>
    </row>
    <row r="1049" spans="15:15">
      <c r="O1049" s="140"/>
    </row>
    <row r="1050" spans="15:15">
      <c r="O1050" s="140"/>
    </row>
    <row r="1051" spans="15:15">
      <c r="O1051" s="140"/>
    </row>
    <row r="1052" spans="15:15">
      <c r="O1052" s="140"/>
    </row>
    <row r="1053" spans="15:15">
      <c r="O1053" s="140"/>
    </row>
    <row r="1054" spans="15:15">
      <c r="O1054" s="140"/>
    </row>
    <row r="1055" spans="15:15">
      <c r="O1055" s="140"/>
    </row>
    <row r="1056" spans="15:15">
      <c r="O1056" s="140"/>
    </row>
    <row r="1057" spans="15:15">
      <c r="O1057" s="140"/>
    </row>
    <row r="1058" spans="15:15">
      <c r="O1058" s="140"/>
    </row>
    <row r="1059" spans="15:15">
      <c r="O1059" s="140"/>
    </row>
    <row r="1060" spans="15:15">
      <c r="O1060" s="140"/>
    </row>
    <row r="1061" spans="15:15">
      <c r="O1061" s="140"/>
    </row>
    <row r="1062" spans="15:15">
      <c r="O1062" s="140"/>
    </row>
    <row r="1063" spans="15:15">
      <c r="O1063" s="140"/>
    </row>
    <row r="1064" spans="15:15">
      <c r="O1064" s="140"/>
    </row>
    <row r="1065" spans="15:15">
      <c r="O1065" s="140"/>
    </row>
    <row r="1066" spans="15:15">
      <c r="O1066" s="140"/>
    </row>
    <row r="1067" spans="15:15">
      <c r="O1067" s="140"/>
    </row>
    <row r="1068" spans="15:15">
      <c r="O1068" s="140"/>
    </row>
    <row r="1069" spans="15:15">
      <c r="O1069" s="140"/>
    </row>
    <row r="1070" spans="15:15">
      <c r="O1070" s="140"/>
    </row>
    <row r="1071" spans="15:15">
      <c r="O1071" s="140"/>
    </row>
    <row r="1072" spans="15:15">
      <c r="O1072" s="140"/>
    </row>
    <row r="1073" spans="15:15">
      <c r="O1073" s="140"/>
    </row>
    <row r="1074" spans="15:15">
      <c r="O1074" s="140"/>
    </row>
    <row r="1075" spans="15:15">
      <c r="O1075" s="140"/>
    </row>
    <row r="1076" spans="15:15">
      <c r="O1076" s="140"/>
    </row>
    <row r="1077" spans="15:15">
      <c r="O1077" s="140"/>
    </row>
    <row r="1078" spans="15:15">
      <c r="O1078" s="140"/>
    </row>
    <row r="1079" spans="15:15">
      <c r="O1079" s="140"/>
    </row>
    <row r="1080" spans="15:15">
      <c r="O1080" s="140"/>
    </row>
    <row r="1081" spans="15:15">
      <c r="O1081" s="140"/>
    </row>
    <row r="1082" spans="15:15">
      <c r="O1082" s="140"/>
    </row>
    <row r="1083" spans="15:15">
      <c r="O1083" s="140"/>
    </row>
    <row r="1084" spans="15:15">
      <c r="O1084" s="140"/>
    </row>
    <row r="1085" spans="15:15">
      <c r="O1085" s="140"/>
    </row>
    <row r="1086" spans="15:15">
      <c r="O1086" s="140"/>
    </row>
    <row r="1087" spans="15:15">
      <c r="O1087" s="140"/>
    </row>
    <row r="1088" spans="15:15">
      <c r="O1088" s="140"/>
    </row>
    <row r="1089" spans="15:15">
      <c r="O1089" s="140"/>
    </row>
    <row r="1090" spans="15:15">
      <c r="O1090" s="140"/>
    </row>
    <row r="1091" spans="15:15">
      <c r="O1091" s="140"/>
    </row>
    <row r="1092" spans="15:15">
      <c r="O1092" s="140"/>
    </row>
    <row r="1093" spans="15:15">
      <c r="O1093" s="140"/>
    </row>
    <row r="1094" spans="15:15">
      <c r="O1094" s="140"/>
    </row>
    <row r="1095" spans="15:15">
      <c r="O1095" s="140"/>
    </row>
    <row r="1096" spans="15:15">
      <c r="O1096" s="140"/>
    </row>
    <row r="1097" spans="15:15">
      <c r="O1097" s="140"/>
    </row>
    <row r="1098" spans="15:15">
      <c r="O1098" s="140"/>
    </row>
    <row r="1099" spans="15:15">
      <c r="O1099" s="140"/>
    </row>
    <row r="1100" spans="15:15">
      <c r="O1100" s="140"/>
    </row>
    <row r="1101" spans="15:15">
      <c r="O1101" s="140"/>
    </row>
    <row r="1102" spans="15:15">
      <c r="O1102" s="140"/>
    </row>
    <row r="1103" spans="15:15">
      <c r="O1103" s="140"/>
    </row>
    <row r="1104" spans="15:15">
      <c r="O1104" s="140"/>
    </row>
    <row r="1105" spans="15:15">
      <c r="O1105" s="140"/>
    </row>
    <row r="1106" spans="15:15">
      <c r="O1106" s="140"/>
    </row>
    <row r="1107" spans="15:15">
      <c r="O1107" s="140"/>
    </row>
    <row r="1108" spans="15:15">
      <c r="O1108" s="140"/>
    </row>
    <row r="1109" spans="15:15">
      <c r="O1109" s="140"/>
    </row>
    <row r="1110" spans="15:15">
      <c r="O1110" s="140"/>
    </row>
    <row r="1111" spans="15:15">
      <c r="O1111" s="140"/>
    </row>
    <row r="1112" spans="15:15">
      <c r="O1112" s="140"/>
    </row>
    <row r="1113" spans="15:15">
      <c r="O1113" s="140"/>
    </row>
    <row r="1114" spans="15:15">
      <c r="O1114" s="140"/>
    </row>
    <row r="1115" spans="15:15">
      <c r="O1115" s="140"/>
    </row>
    <row r="1116" spans="15:15">
      <c r="O1116" s="140"/>
    </row>
    <row r="1117" spans="15:15">
      <c r="O1117" s="140"/>
    </row>
    <row r="1118" spans="15:15">
      <c r="O1118" s="140"/>
    </row>
    <row r="1119" spans="15:15">
      <c r="O1119" s="140"/>
    </row>
    <row r="1120" spans="15:15">
      <c r="O1120" s="140"/>
    </row>
    <row r="1121" spans="15:15">
      <c r="O1121" s="140"/>
    </row>
    <row r="1122" spans="15:15">
      <c r="O1122" s="140"/>
    </row>
    <row r="1123" spans="15:15">
      <c r="O1123" s="140"/>
    </row>
    <row r="1124" spans="15:15">
      <c r="O1124" s="140"/>
    </row>
    <row r="1125" spans="15:15">
      <c r="O1125" s="140"/>
    </row>
    <row r="1126" spans="15:15">
      <c r="O1126" s="140"/>
    </row>
    <row r="1127" spans="15:15">
      <c r="O1127" s="140"/>
    </row>
    <row r="1128" spans="15:15">
      <c r="O1128" s="140"/>
    </row>
    <row r="1129" spans="15:15">
      <c r="O1129" s="140"/>
    </row>
    <row r="1130" spans="15:15">
      <c r="O1130" s="140"/>
    </row>
    <row r="1131" spans="15:15">
      <c r="O1131" s="140"/>
    </row>
    <row r="1132" spans="15:15">
      <c r="O1132" s="140"/>
    </row>
    <row r="1133" spans="15:15">
      <c r="O1133" s="140"/>
    </row>
    <row r="1134" spans="15:15">
      <c r="O1134" s="140"/>
    </row>
    <row r="1135" spans="15:15">
      <c r="O1135" s="140"/>
    </row>
    <row r="1136" spans="15:15">
      <c r="O1136" s="140"/>
    </row>
    <row r="1137" spans="15:15">
      <c r="O1137" s="140"/>
    </row>
    <row r="1138" spans="15:15">
      <c r="O1138" s="140"/>
    </row>
    <row r="1139" spans="15:15">
      <c r="O1139" s="140"/>
    </row>
    <row r="1140" spans="15:15">
      <c r="O1140" s="140"/>
    </row>
    <row r="1141" spans="15:15">
      <c r="O1141" s="140"/>
    </row>
    <row r="1142" spans="15:15">
      <c r="O1142" s="140"/>
    </row>
    <row r="1143" spans="15:15">
      <c r="O1143" s="140"/>
    </row>
    <row r="1144" spans="15:15">
      <c r="O1144" s="140"/>
    </row>
    <row r="1145" spans="15:15">
      <c r="O1145" s="140"/>
    </row>
    <row r="1146" spans="15:15">
      <c r="O1146" s="140"/>
    </row>
    <row r="1147" spans="15:15">
      <c r="O1147" s="140"/>
    </row>
    <row r="1148" spans="15:15">
      <c r="O1148" s="140"/>
    </row>
    <row r="1149" spans="15:15">
      <c r="O1149" s="140"/>
    </row>
    <row r="1150" spans="15:15">
      <c r="O1150" s="140"/>
    </row>
    <row r="1151" spans="15:15">
      <c r="O1151" s="140"/>
    </row>
    <row r="1152" spans="15:15">
      <c r="O1152" s="140"/>
    </row>
    <row r="1153" spans="15:15">
      <c r="O1153" s="140"/>
    </row>
    <row r="1154" spans="15:15">
      <c r="O1154" s="140"/>
    </row>
    <row r="1155" spans="15:15">
      <c r="O1155" s="140"/>
    </row>
    <row r="1156" spans="15:15">
      <c r="O1156" s="140"/>
    </row>
    <row r="1157" spans="15:15">
      <c r="O1157" s="140"/>
    </row>
    <row r="1158" spans="15:15">
      <c r="O1158" s="140"/>
    </row>
    <row r="1159" spans="15:15">
      <c r="O1159" s="140"/>
    </row>
    <row r="1160" spans="15:15">
      <c r="O1160" s="140"/>
    </row>
    <row r="1161" spans="15:15">
      <c r="O1161" s="140"/>
    </row>
    <row r="1162" spans="15:15">
      <c r="O1162" s="140"/>
    </row>
    <row r="1163" spans="15:15">
      <c r="O1163" s="140"/>
    </row>
    <row r="1164" spans="15:15">
      <c r="O1164" s="140"/>
    </row>
    <row r="1165" spans="15:15">
      <c r="O1165" s="140"/>
    </row>
    <row r="1166" spans="15:15">
      <c r="O1166" s="140"/>
    </row>
    <row r="1167" spans="15:15">
      <c r="O1167" s="140"/>
    </row>
    <row r="1168" spans="15:15">
      <c r="O1168" s="140"/>
    </row>
    <row r="1169" spans="15:15">
      <c r="O1169" s="140"/>
    </row>
    <row r="1170" spans="15:15">
      <c r="O1170" s="140"/>
    </row>
    <row r="1171" spans="15:15">
      <c r="O1171" s="140"/>
    </row>
    <row r="1172" spans="15:15">
      <c r="O1172" s="140"/>
    </row>
    <row r="1173" spans="15:15">
      <c r="O1173" s="140"/>
    </row>
    <row r="1174" spans="15:15">
      <c r="O1174" s="140"/>
    </row>
    <row r="1175" spans="15:15">
      <c r="O1175" s="140"/>
    </row>
    <row r="1176" spans="15:15">
      <c r="O1176" s="140"/>
    </row>
    <row r="1177" spans="15:15">
      <c r="O1177" s="140"/>
    </row>
    <row r="1178" spans="15:15">
      <c r="O1178" s="140"/>
    </row>
    <row r="1179" spans="15:15">
      <c r="O1179" s="140"/>
    </row>
    <row r="1180" spans="15:15">
      <c r="O1180" s="140"/>
    </row>
    <row r="1181" spans="15:15">
      <c r="O1181" s="140"/>
    </row>
    <row r="1182" spans="15:15">
      <c r="O1182" s="140"/>
    </row>
    <row r="1183" spans="15:15">
      <c r="O1183" s="140"/>
    </row>
    <row r="1184" spans="15:15">
      <c r="O1184" s="140"/>
    </row>
    <row r="1185" spans="15:15">
      <c r="O1185" s="140"/>
    </row>
    <row r="1186" spans="15:15">
      <c r="O1186" s="140"/>
    </row>
    <row r="1187" spans="15:15">
      <c r="O1187" s="140"/>
    </row>
    <row r="1188" spans="15:15">
      <c r="O1188" s="140"/>
    </row>
    <row r="1189" spans="15:15">
      <c r="O1189" s="140"/>
    </row>
    <row r="1190" spans="15:15">
      <c r="O1190" s="140"/>
    </row>
    <row r="1191" spans="15:15">
      <c r="O1191" s="140"/>
    </row>
    <row r="1192" spans="15:15">
      <c r="O1192" s="140"/>
    </row>
    <row r="1193" spans="15:15">
      <c r="O1193" s="140"/>
    </row>
    <row r="1194" spans="15:15">
      <c r="O1194" s="140"/>
    </row>
    <row r="1195" spans="15:15">
      <c r="O1195" s="140"/>
    </row>
    <row r="1196" spans="15:15">
      <c r="O1196" s="140"/>
    </row>
    <row r="1197" spans="15:15">
      <c r="O1197" s="140"/>
    </row>
    <row r="1198" spans="15:15">
      <c r="O1198" s="140"/>
    </row>
    <row r="1199" spans="15:15">
      <c r="O1199" s="140"/>
    </row>
    <row r="1200" spans="15:15">
      <c r="O1200" s="140"/>
    </row>
    <row r="1201" spans="15:15">
      <c r="O1201" s="140"/>
    </row>
    <row r="1202" spans="15:15">
      <c r="O1202" s="140"/>
    </row>
    <row r="1203" spans="15:15">
      <c r="O1203" s="140"/>
    </row>
    <row r="1204" spans="15:15">
      <c r="O1204" s="140"/>
    </row>
    <row r="1205" spans="15:15">
      <c r="O1205" s="140"/>
    </row>
    <row r="1206" spans="15:15">
      <c r="O1206" s="140"/>
    </row>
    <row r="1207" spans="15:15">
      <c r="O1207" s="140"/>
    </row>
    <row r="1208" spans="15:15">
      <c r="O1208" s="140"/>
    </row>
    <row r="1209" spans="15:15">
      <c r="O1209" s="140"/>
    </row>
    <row r="1210" spans="15:15">
      <c r="O1210" s="140"/>
    </row>
    <row r="1211" spans="15:15">
      <c r="O1211" s="140"/>
    </row>
    <row r="1212" spans="15:15">
      <c r="O1212" s="140"/>
    </row>
    <row r="1213" spans="15:15">
      <c r="O1213" s="140"/>
    </row>
    <row r="1214" spans="15:15">
      <c r="O1214" s="140"/>
    </row>
    <row r="1215" spans="15:15">
      <c r="O1215" s="140"/>
    </row>
    <row r="1216" spans="15:15">
      <c r="O1216" s="140"/>
    </row>
    <row r="1217" spans="15:15">
      <c r="O1217" s="140"/>
    </row>
    <row r="1218" spans="15:15">
      <c r="O1218" s="140"/>
    </row>
    <row r="1219" spans="15:15">
      <c r="O1219" s="140"/>
    </row>
    <row r="1220" spans="15:15">
      <c r="O1220" s="140"/>
    </row>
    <row r="1221" spans="15:15">
      <c r="O1221" s="140"/>
    </row>
    <row r="1222" spans="15:15">
      <c r="O1222" s="140"/>
    </row>
    <row r="1223" spans="15:15">
      <c r="O1223" s="140"/>
    </row>
    <row r="1224" spans="15:15">
      <c r="O1224" s="140"/>
    </row>
    <row r="1225" spans="15:15">
      <c r="O1225" s="140"/>
    </row>
    <row r="1226" spans="15:15">
      <c r="O1226" s="140"/>
    </row>
    <row r="1227" spans="15:15">
      <c r="O1227" s="140"/>
    </row>
    <row r="1228" spans="15:15">
      <c r="O1228" s="140"/>
    </row>
    <row r="1229" spans="15:15">
      <c r="O1229" s="140"/>
    </row>
    <row r="1230" spans="15:15">
      <c r="O1230" s="140"/>
    </row>
    <row r="1231" spans="15:15">
      <c r="O1231" s="140"/>
    </row>
    <row r="1232" spans="15:15">
      <c r="O1232" s="140"/>
    </row>
    <row r="1233" spans="15:15">
      <c r="O1233" s="140"/>
    </row>
    <row r="1234" spans="15:15">
      <c r="O1234" s="140"/>
    </row>
    <row r="1235" spans="15:15">
      <c r="O1235" s="140"/>
    </row>
    <row r="1236" spans="15:15">
      <c r="O1236" s="140"/>
    </row>
    <row r="1237" spans="15:15">
      <c r="O1237" s="140"/>
    </row>
    <row r="1238" spans="15:15">
      <c r="O1238" s="140"/>
    </row>
    <row r="1239" spans="15:15">
      <c r="O1239" s="140"/>
    </row>
    <row r="1240" spans="15:15">
      <c r="O1240" s="140"/>
    </row>
    <row r="1241" spans="15:15">
      <c r="O1241" s="140"/>
    </row>
    <row r="1242" spans="15:15">
      <c r="O1242" s="140"/>
    </row>
    <row r="1243" spans="15:15">
      <c r="O1243" s="140"/>
    </row>
    <row r="1244" spans="15:15">
      <c r="O1244" s="140"/>
    </row>
    <row r="1245" spans="15:15">
      <c r="O1245" s="140"/>
    </row>
    <row r="1246" spans="15:15">
      <c r="O1246" s="140"/>
    </row>
    <row r="1247" spans="15:15">
      <c r="O1247" s="140"/>
    </row>
    <row r="1248" spans="15:15">
      <c r="O1248" s="140"/>
    </row>
    <row r="1249" spans="15:15">
      <c r="O1249" s="140"/>
    </row>
    <row r="1250" spans="15:15">
      <c r="O1250" s="140"/>
    </row>
    <row r="1251" spans="15:15">
      <c r="O1251" s="140"/>
    </row>
    <row r="1252" spans="15:15">
      <c r="O1252" s="140"/>
    </row>
    <row r="1253" spans="15:15">
      <c r="O1253" s="140"/>
    </row>
    <row r="1254" spans="15:15">
      <c r="O1254" s="140"/>
    </row>
    <row r="1255" spans="15:15">
      <c r="O1255" s="140"/>
    </row>
  </sheetData>
  <sheetProtection algorithmName="SHA-512" hashValue="InaxJyFt261E8Zwbl9Gat2NH6AOSFC/KQNXwsBYhxGHGhVlz67LylzpTFSWTh/zhq/KfijVIR+cX2q1vaOnp9A==" saltValue="Pxr7StegjsCPk27LaQVoHw==" spinCount="100000" sheet="1" objects="1" scenarios="1"/>
  <autoFilter ref="A4:AB458" xr:uid="{00000000-0001-0000-0100-000000000000}"/>
  <phoneticPr fontId="25" type="noConversion"/>
  <conditionalFormatting sqref="A182:A183">
    <cfRule type="duplicateValues" dxfId="29" priority="31"/>
    <cfRule type="duplicateValues" dxfId="28" priority="32"/>
    <cfRule type="duplicateValues" dxfId="27" priority="33"/>
    <cfRule type="duplicateValues" dxfId="26" priority="34"/>
    <cfRule type="duplicateValues" dxfId="25" priority="35"/>
  </conditionalFormatting>
  <conditionalFormatting sqref="A184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A185:A190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A191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A192:A194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A195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rintOptions horizontalCentered="1"/>
  <pageMargins left="0" right="0.39370078740157483" top="0.74803149606299213" bottom="0.74803149606299213" header="0.31496062992125984" footer="0.31496062992125984"/>
  <pageSetup scale="6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U73"/>
  <sheetViews>
    <sheetView tabSelected="1" zoomScale="80" zoomScaleNormal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62" sqref="F62"/>
    </sheetView>
  </sheetViews>
  <sheetFormatPr baseColWidth="10" defaultColWidth="11.42578125" defaultRowHeight="12.75"/>
  <cols>
    <col min="1" max="1" width="11.5703125" style="8" customWidth="1"/>
    <col min="2" max="2" width="8" style="8" customWidth="1"/>
    <col min="3" max="4" width="6.140625" style="8" customWidth="1"/>
    <col min="5" max="5" width="13.85546875" style="8" customWidth="1"/>
    <col min="6" max="6" width="50.28515625" style="8" customWidth="1"/>
    <col min="7" max="7" width="18.5703125" style="8" customWidth="1"/>
    <col min="8" max="9" width="11.42578125" style="8" customWidth="1"/>
    <col min="10" max="10" width="16.42578125" style="8" customWidth="1"/>
    <col min="11" max="12" width="14.28515625" style="8" customWidth="1"/>
    <col min="13" max="13" width="15.5703125" style="8" customWidth="1"/>
    <col min="14" max="15" width="14.28515625" style="8" customWidth="1"/>
    <col min="16" max="16" width="15" style="8" customWidth="1"/>
    <col min="17" max="19" width="14.28515625" style="8" customWidth="1"/>
    <col min="20" max="20" width="17.7109375" style="14" bestFit="1" customWidth="1"/>
    <col min="21" max="21" width="15.5703125" style="289" bestFit="1" customWidth="1"/>
    <col min="22" max="16384" width="11.42578125" style="8"/>
  </cols>
  <sheetData>
    <row r="1" spans="1:21" ht="15.75">
      <c r="A1" s="99" t="s">
        <v>784</v>
      </c>
      <c r="I1" s="109">
        <f>SUBTOTAL(9,I3:I51)</f>
        <v>0</v>
      </c>
      <c r="J1" s="109">
        <f t="shared" ref="J1:U1" si="0">SUBTOTAL(9,J3:J51)</f>
        <v>68661.482999999993</v>
      </c>
      <c r="K1" s="109">
        <f t="shared" si="0"/>
        <v>135543.46399999998</v>
      </c>
      <c r="L1" s="109">
        <f t="shared" si="0"/>
        <v>256804.75899999996</v>
      </c>
      <c r="M1" s="109">
        <f t="shared" si="0"/>
        <v>307926.52899999998</v>
      </c>
      <c r="N1" s="109">
        <f t="shared" si="0"/>
        <v>361836.484</v>
      </c>
      <c r="O1" s="109">
        <f t="shared" si="0"/>
        <v>0</v>
      </c>
      <c r="P1" s="109">
        <f t="shared" si="0"/>
        <v>0</v>
      </c>
      <c r="Q1" s="109">
        <f t="shared" si="0"/>
        <v>0</v>
      </c>
      <c r="R1" s="109">
        <f t="shared" si="0"/>
        <v>0</v>
      </c>
      <c r="S1" s="109">
        <f t="shared" si="0"/>
        <v>0</v>
      </c>
      <c r="T1" s="109">
        <f t="shared" si="0"/>
        <v>0</v>
      </c>
      <c r="U1" s="109">
        <f t="shared" si="0"/>
        <v>1130772.719</v>
      </c>
    </row>
    <row r="2" spans="1:21" ht="38.25">
      <c r="A2" s="110" t="s">
        <v>785</v>
      </c>
      <c r="B2" s="111" t="s">
        <v>122</v>
      </c>
      <c r="C2" s="111" t="s">
        <v>5</v>
      </c>
      <c r="D2" s="111" t="s">
        <v>123</v>
      </c>
      <c r="E2" s="112" t="s">
        <v>124</v>
      </c>
      <c r="F2" s="112" t="s">
        <v>125</v>
      </c>
      <c r="G2" s="112" t="s">
        <v>79</v>
      </c>
      <c r="H2" s="111" t="s">
        <v>128</v>
      </c>
      <c r="I2" s="113">
        <v>45658</v>
      </c>
      <c r="J2" s="113">
        <v>45689</v>
      </c>
      <c r="K2" s="113">
        <v>45717</v>
      </c>
      <c r="L2" s="113">
        <v>45748</v>
      </c>
      <c r="M2" s="113">
        <v>45778</v>
      </c>
      <c r="N2" s="113">
        <v>45809</v>
      </c>
      <c r="O2" s="113">
        <v>45839</v>
      </c>
      <c r="P2" s="113">
        <v>45870</v>
      </c>
      <c r="Q2" s="113">
        <v>45901</v>
      </c>
      <c r="R2" s="113">
        <v>45931</v>
      </c>
      <c r="S2" s="113">
        <v>45962</v>
      </c>
      <c r="T2" s="113">
        <v>45992</v>
      </c>
      <c r="U2" s="288" t="s">
        <v>786</v>
      </c>
    </row>
    <row r="3" spans="1:21" ht="25.5">
      <c r="A3" s="211">
        <v>40009018</v>
      </c>
      <c r="B3" s="10">
        <v>33</v>
      </c>
      <c r="C3" s="11" t="s">
        <v>27</v>
      </c>
      <c r="D3" s="10">
        <v>125</v>
      </c>
      <c r="E3" s="12" t="s">
        <v>132</v>
      </c>
      <c r="F3" s="12" t="s">
        <v>787</v>
      </c>
      <c r="G3" s="12" t="s">
        <v>86</v>
      </c>
      <c r="H3" s="214">
        <v>87467.254000000001</v>
      </c>
      <c r="I3" s="13"/>
      <c r="J3" s="145"/>
      <c r="K3" s="13">
        <v>31087.361000000001</v>
      </c>
      <c r="L3" s="13"/>
      <c r="M3" s="13"/>
      <c r="N3" s="13"/>
      <c r="O3" s="13"/>
      <c r="P3" s="145"/>
      <c r="Q3" s="13"/>
      <c r="R3" s="13"/>
      <c r="S3" s="152"/>
      <c r="T3" s="13"/>
      <c r="U3" s="13">
        <f t="shared" ref="U3" si="1">SUM(I3:T3)</f>
        <v>31087.361000000001</v>
      </c>
    </row>
    <row r="4" spans="1:21" hidden="1">
      <c r="A4" s="211">
        <v>40042650</v>
      </c>
      <c r="B4" s="10">
        <v>33</v>
      </c>
      <c r="C4" s="11" t="s">
        <v>27</v>
      </c>
      <c r="D4" s="10">
        <v>125</v>
      </c>
      <c r="E4" s="12" t="s">
        <v>132</v>
      </c>
      <c r="F4" s="12" t="s">
        <v>788</v>
      </c>
      <c r="G4" s="12" t="s">
        <v>94</v>
      </c>
      <c r="H4" s="215">
        <v>114856.673</v>
      </c>
      <c r="I4" s="13"/>
      <c r="J4" s="145"/>
      <c r="K4" s="13"/>
      <c r="L4" s="13"/>
      <c r="M4" s="13"/>
      <c r="N4" s="13"/>
      <c r="O4" s="13"/>
      <c r="P4" s="145"/>
      <c r="Q4" s="13"/>
      <c r="R4" s="13"/>
      <c r="S4" s="222"/>
      <c r="T4" s="13"/>
      <c r="U4" s="13">
        <f t="shared" ref="U4:U9" si="2">SUM(I4:T4)</f>
        <v>0</v>
      </c>
    </row>
    <row r="5" spans="1:21" ht="25.5" hidden="1">
      <c r="A5" s="211">
        <v>40024712</v>
      </c>
      <c r="B5" s="10">
        <v>33</v>
      </c>
      <c r="C5" s="11" t="s">
        <v>27</v>
      </c>
      <c r="D5" s="10">
        <v>125</v>
      </c>
      <c r="E5" s="12" t="s">
        <v>132</v>
      </c>
      <c r="F5" s="12" t="s">
        <v>789</v>
      </c>
      <c r="G5" s="12" t="s">
        <v>90</v>
      </c>
      <c r="H5" s="215">
        <v>25000</v>
      </c>
      <c r="I5" s="13"/>
      <c r="J5" s="145"/>
      <c r="K5" s="13"/>
      <c r="L5" s="13"/>
      <c r="M5" s="13"/>
      <c r="N5" s="13"/>
      <c r="O5" s="13"/>
      <c r="P5" s="145"/>
      <c r="Q5" s="13"/>
      <c r="R5" s="13"/>
      <c r="S5" s="152"/>
      <c r="T5" s="13"/>
      <c r="U5" s="13">
        <f t="shared" si="2"/>
        <v>0</v>
      </c>
    </row>
    <row r="6" spans="1:21" ht="25.5" hidden="1">
      <c r="A6" s="211">
        <v>40040377</v>
      </c>
      <c r="B6" s="10">
        <v>33</v>
      </c>
      <c r="C6" s="11" t="s">
        <v>27</v>
      </c>
      <c r="D6" s="10">
        <v>125</v>
      </c>
      <c r="E6" s="12" t="s">
        <v>132</v>
      </c>
      <c r="F6" s="12" t="s">
        <v>790</v>
      </c>
      <c r="G6" s="12" t="s">
        <v>91</v>
      </c>
      <c r="H6" s="215">
        <v>100000</v>
      </c>
      <c r="I6" s="13"/>
      <c r="J6" s="145"/>
      <c r="K6" s="13"/>
      <c r="L6" s="13"/>
      <c r="M6" s="13"/>
      <c r="N6" s="13"/>
      <c r="O6" s="13"/>
      <c r="P6" s="145"/>
      <c r="Q6" s="13"/>
      <c r="R6" s="13"/>
      <c r="S6" s="152"/>
      <c r="T6" s="13"/>
      <c r="U6" s="13">
        <f t="shared" si="2"/>
        <v>0</v>
      </c>
    </row>
    <row r="7" spans="1:21" ht="25.5" hidden="1">
      <c r="A7" s="211">
        <v>40040384</v>
      </c>
      <c r="B7" s="10">
        <v>33</v>
      </c>
      <c r="C7" s="11" t="s">
        <v>27</v>
      </c>
      <c r="D7" s="10">
        <v>125</v>
      </c>
      <c r="E7" s="12" t="s">
        <v>132</v>
      </c>
      <c r="F7" s="12" t="s">
        <v>791</v>
      </c>
      <c r="G7" s="12" t="s">
        <v>91</v>
      </c>
      <c r="H7" s="215">
        <v>73744</v>
      </c>
      <c r="I7" s="13"/>
      <c r="J7" s="145"/>
      <c r="K7" s="13"/>
      <c r="L7" s="13"/>
      <c r="M7" s="13"/>
      <c r="N7" s="13"/>
      <c r="O7" s="13"/>
      <c r="P7" s="145"/>
      <c r="Q7" s="13"/>
      <c r="R7" s="13"/>
      <c r="S7" s="152"/>
      <c r="T7" s="13"/>
      <c r="U7" s="13">
        <f t="shared" si="2"/>
        <v>0</v>
      </c>
    </row>
    <row r="8" spans="1:21" ht="20.25" customHeight="1">
      <c r="A8" s="211">
        <v>40046413</v>
      </c>
      <c r="B8" s="10">
        <v>33</v>
      </c>
      <c r="C8" s="11" t="s">
        <v>27</v>
      </c>
      <c r="D8" s="10">
        <v>125</v>
      </c>
      <c r="E8" s="12" t="s">
        <v>132</v>
      </c>
      <c r="F8" s="12" t="s">
        <v>792</v>
      </c>
      <c r="G8" s="12" t="s">
        <v>86</v>
      </c>
      <c r="H8" s="215">
        <v>135998.04500000001</v>
      </c>
      <c r="I8" s="13"/>
      <c r="J8" s="145">
        <v>13747.683999999999</v>
      </c>
      <c r="K8" s="13"/>
      <c r="L8" s="13"/>
      <c r="M8" s="13"/>
      <c r="N8" s="13"/>
      <c r="O8" s="13"/>
      <c r="P8" s="145"/>
      <c r="Q8" s="13"/>
      <c r="R8" s="13"/>
      <c r="S8" s="152"/>
      <c r="T8" s="13"/>
      <c r="U8" s="13">
        <f t="shared" si="2"/>
        <v>13747.683999999999</v>
      </c>
    </row>
    <row r="9" spans="1:21" ht="20.25" hidden="1" customHeight="1">
      <c r="A9" s="211">
        <v>40046267</v>
      </c>
      <c r="B9" s="10">
        <v>33</v>
      </c>
      <c r="C9" s="11" t="s">
        <v>27</v>
      </c>
      <c r="D9" s="10">
        <v>125</v>
      </c>
      <c r="E9" s="12" t="s">
        <v>132</v>
      </c>
      <c r="F9" s="12" t="s">
        <v>793</v>
      </c>
      <c r="G9" s="12" t="s">
        <v>86</v>
      </c>
      <c r="H9" s="215">
        <v>96999.875</v>
      </c>
      <c r="I9" s="13"/>
      <c r="J9" s="145"/>
      <c r="K9" s="13"/>
      <c r="L9" s="13"/>
      <c r="M9" s="13"/>
      <c r="N9" s="13"/>
      <c r="O9" s="13"/>
      <c r="P9" s="145"/>
      <c r="Q9" s="13"/>
      <c r="R9" s="13"/>
      <c r="S9" s="222"/>
      <c r="T9" s="13"/>
      <c r="U9" s="13">
        <f t="shared" si="2"/>
        <v>0</v>
      </c>
    </row>
    <row r="10" spans="1:21" ht="25.5" hidden="1">
      <c r="A10" s="211">
        <v>40024263</v>
      </c>
      <c r="B10" s="10">
        <v>33</v>
      </c>
      <c r="C10" s="11" t="s">
        <v>27</v>
      </c>
      <c r="D10" s="10">
        <v>125</v>
      </c>
      <c r="E10" s="12" t="s">
        <v>132</v>
      </c>
      <c r="F10" s="12" t="s">
        <v>794</v>
      </c>
      <c r="G10" s="12" t="s">
        <v>90</v>
      </c>
      <c r="H10" s="215">
        <v>46750</v>
      </c>
      <c r="I10" s="13"/>
      <c r="J10" s="145"/>
      <c r="K10" s="13"/>
      <c r="L10" s="13"/>
      <c r="M10" s="13"/>
      <c r="N10" s="13"/>
      <c r="O10" s="13"/>
      <c r="P10" s="145"/>
      <c r="Q10" s="13"/>
      <c r="R10" s="13"/>
      <c r="S10" s="152"/>
      <c r="T10" s="13"/>
      <c r="U10" s="13">
        <f t="shared" ref="U10:U12" si="3">SUM(I10:T10)</f>
        <v>0</v>
      </c>
    </row>
    <row r="11" spans="1:21" hidden="1">
      <c r="A11" s="211">
        <v>40046661</v>
      </c>
      <c r="B11" s="10">
        <v>33</v>
      </c>
      <c r="C11" s="11" t="s">
        <v>27</v>
      </c>
      <c r="D11" s="10">
        <v>125</v>
      </c>
      <c r="E11" s="12" t="s">
        <v>132</v>
      </c>
      <c r="F11" s="12" t="s">
        <v>795</v>
      </c>
      <c r="G11" s="12" t="s">
        <v>97</v>
      </c>
      <c r="H11" s="215">
        <v>78618</v>
      </c>
      <c r="I11" s="13"/>
      <c r="J11" s="145"/>
      <c r="K11" s="13"/>
      <c r="L11" s="13"/>
      <c r="M11" s="13"/>
      <c r="N11" s="13"/>
      <c r="O11" s="13"/>
      <c r="P11" s="145"/>
      <c r="Q11" s="13"/>
      <c r="R11" s="13"/>
      <c r="S11" s="222"/>
      <c r="T11" s="13"/>
      <c r="U11" s="13">
        <f t="shared" si="3"/>
        <v>0</v>
      </c>
    </row>
    <row r="12" spans="1:21" ht="25.5">
      <c r="A12" s="211">
        <v>40024485</v>
      </c>
      <c r="B12" s="10">
        <v>33</v>
      </c>
      <c r="C12" s="11" t="s">
        <v>27</v>
      </c>
      <c r="D12" s="10">
        <v>125</v>
      </c>
      <c r="E12" s="12" t="s">
        <v>132</v>
      </c>
      <c r="F12" s="12" t="s">
        <v>796</v>
      </c>
      <c r="G12" s="12" t="s">
        <v>82</v>
      </c>
      <c r="H12" s="215">
        <v>70520</v>
      </c>
      <c r="I12" s="13"/>
      <c r="J12" s="145"/>
      <c r="K12" s="13">
        <v>4856.0349999999999</v>
      </c>
      <c r="L12" s="13"/>
      <c r="M12" s="13"/>
      <c r="N12" s="13"/>
      <c r="O12" s="13"/>
      <c r="P12" s="145"/>
      <c r="Q12" s="13"/>
      <c r="R12" s="13"/>
      <c r="S12" s="152"/>
      <c r="T12" s="13"/>
      <c r="U12" s="13">
        <f t="shared" si="3"/>
        <v>4856.0349999999999</v>
      </c>
    </row>
    <row r="13" spans="1:21" ht="25.5">
      <c r="A13" s="211">
        <v>40008920</v>
      </c>
      <c r="B13" s="10">
        <v>33</v>
      </c>
      <c r="C13" s="11" t="s">
        <v>27</v>
      </c>
      <c r="D13" s="10">
        <v>125</v>
      </c>
      <c r="E13" s="12" t="s">
        <v>132</v>
      </c>
      <c r="F13" s="12" t="s">
        <v>797</v>
      </c>
      <c r="G13" s="12" t="s">
        <v>82</v>
      </c>
      <c r="H13" s="215">
        <v>94038</v>
      </c>
      <c r="I13" s="13"/>
      <c r="J13" s="145"/>
      <c r="K13" s="13">
        <v>11567.317999999999</v>
      </c>
      <c r="L13" s="13"/>
      <c r="M13" s="13"/>
      <c r="N13" s="13"/>
      <c r="O13" s="13"/>
      <c r="P13" s="145"/>
      <c r="Q13" s="13"/>
      <c r="R13" s="13"/>
      <c r="S13" s="152"/>
      <c r="T13" s="13"/>
      <c r="U13" s="13">
        <f t="shared" ref="U13:U22" si="4">SUM(I13:T13)</f>
        <v>11567.317999999999</v>
      </c>
    </row>
    <row r="14" spans="1:21" ht="25.5" hidden="1">
      <c r="A14" s="211">
        <v>40024229</v>
      </c>
      <c r="B14" s="10">
        <v>33</v>
      </c>
      <c r="C14" s="11" t="s">
        <v>27</v>
      </c>
      <c r="D14" s="10">
        <v>125</v>
      </c>
      <c r="E14" s="12" t="s">
        <v>132</v>
      </c>
      <c r="F14" s="12" t="s">
        <v>798</v>
      </c>
      <c r="G14" s="12" t="s">
        <v>90</v>
      </c>
      <c r="H14" s="215">
        <v>47797</v>
      </c>
      <c r="I14" s="13"/>
      <c r="J14" s="145"/>
      <c r="K14" s="13"/>
      <c r="L14" s="13"/>
      <c r="M14" s="13"/>
      <c r="N14" s="13"/>
      <c r="O14" s="13"/>
      <c r="P14" s="145"/>
      <c r="Q14" s="13"/>
      <c r="R14" s="13"/>
      <c r="S14" s="152"/>
      <c r="T14" s="13"/>
      <c r="U14" s="13">
        <f t="shared" si="4"/>
        <v>0</v>
      </c>
    </row>
    <row r="15" spans="1:21" ht="25.5" hidden="1">
      <c r="A15" s="211">
        <v>40024780</v>
      </c>
      <c r="B15" s="10">
        <v>33</v>
      </c>
      <c r="C15" s="11" t="s">
        <v>27</v>
      </c>
      <c r="D15" s="10">
        <v>125</v>
      </c>
      <c r="E15" s="12" t="s">
        <v>132</v>
      </c>
      <c r="F15" s="12" t="s">
        <v>799</v>
      </c>
      <c r="G15" s="12" t="s">
        <v>93</v>
      </c>
      <c r="H15" s="215">
        <v>99346</v>
      </c>
      <c r="I15" s="13"/>
      <c r="J15" s="145"/>
      <c r="K15" s="13"/>
      <c r="L15" s="13"/>
      <c r="M15" s="13"/>
      <c r="N15" s="13"/>
      <c r="O15" s="13"/>
      <c r="P15" s="145"/>
      <c r="Q15" s="13"/>
      <c r="R15" s="13"/>
      <c r="S15" s="152"/>
      <c r="T15" s="13"/>
      <c r="U15" s="13">
        <f t="shared" si="4"/>
        <v>0</v>
      </c>
    </row>
    <row r="16" spans="1:21" ht="25.5" hidden="1">
      <c r="A16" s="211">
        <v>40045412</v>
      </c>
      <c r="B16" s="10">
        <v>33</v>
      </c>
      <c r="C16" s="11" t="s">
        <v>27</v>
      </c>
      <c r="D16" s="10">
        <v>125</v>
      </c>
      <c r="E16" s="12" t="s">
        <v>132</v>
      </c>
      <c r="F16" s="12" t="s">
        <v>800</v>
      </c>
      <c r="G16" s="12" t="s">
        <v>84</v>
      </c>
      <c r="H16" s="215">
        <v>99044</v>
      </c>
      <c r="I16" s="13"/>
      <c r="J16" s="145"/>
      <c r="K16" s="13"/>
      <c r="L16" s="13"/>
      <c r="M16" s="13"/>
      <c r="N16" s="13"/>
      <c r="O16" s="13"/>
      <c r="P16" s="145"/>
      <c r="Q16" s="13"/>
      <c r="R16" s="13"/>
      <c r="S16" s="152"/>
      <c r="T16" s="13"/>
      <c r="U16" s="13">
        <f t="shared" si="4"/>
        <v>0</v>
      </c>
    </row>
    <row r="17" spans="1:21" ht="25.5" hidden="1">
      <c r="A17" s="211">
        <v>40046557</v>
      </c>
      <c r="B17" s="10">
        <v>33</v>
      </c>
      <c r="C17" s="11" t="s">
        <v>27</v>
      </c>
      <c r="D17" s="10">
        <v>125</v>
      </c>
      <c r="E17" s="12" t="s">
        <v>132</v>
      </c>
      <c r="F17" s="12" t="s">
        <v>801</v>
      </c>
      <c r="G17" s="12" t="s">
        <v>100</v>
      </c>
      <c r="H17" s="215">
        <v>136105</v>
      </c>
      <c r="I17" s="13"/>
      <c r="J17" s="145"/>
      <c r="K17" s="13"/>
      <c r="L17" s="13"/>
      <c r="M17" s="13"/>
      <c r="N17" s="13"/>
      <c r="O17" s="13"/>
      <c r="P17" s="145"/>
      <c r="Q17" s="13"/>
      <c r="R17" s="13"/>
      <c r="S17" s="152"/>
      <c r="T17" s="13"/>
      <c r="U17" s="13">
        <f t="shared" si="4"/>
        <v>0</v>
      </c>
    </row>
    <row r="18" spans="1:21" ht="25.5" hidden="1">
      <c r="A18" s="211">
        <v>40045932</v>
      </c>
      <c r="B18" s="10">
        <v>33</v>
      </c>
      <c r="C18" s="11" t="s">
        <v>27</v>
      </c>
      <c r="D18" s="10">
        <v>125</v>
      </c>
      <c r="E18" s="12" t="s">
        <v>132</v>
      </c>
      <c r="F18" s="12" t="s">
        <v>802</v>
      </c>
      <c r="G18" s="12" t="s">
        <v>85</v>
      </c>
      <c r="H18" s="215">
        <v>65000</v>
      </c>
      <c r="I18" s="13"/>
      <c r="J18" s="145"/>
      <c r="K18" s="13"/>
      <c r="L18" s="13"/>
      <c r="M18" s="13"/>
      <c r="N18" s="13"/>
      <c r="O18" s="13"/>
      <c r="P18" s="145"/>
      <c r="Q18" s="13"/>
      <c r="R18" s="13"/>
      <c r="S18" s="152"/>
      <c r="T18" s="13"/>
      <c r="U18" s="13">
        <f t="shared" si="4"/>
        <v>0</v>
      </c>
    </row>
    <row r="19" spans="1:21" hidden="1">
      <c r="A19" s="211">
        <v>40042924</v>
      </c>
      <c r="B19" s="10">
        <v>33</v>
      </c>
      <c r="C19" s="11" t="s">
        <v>27</v>
      </c>
      <c r="D19" s="10">
        <v>125</v>
      </c>
      <c r="E19" s="12" t="s">
        <v>132</v>
      </c>
      <c r="F19" s="12" t="s">
        <v>803</v>
      </c>
      <c r="G19" s="12" t="s">
        <v>83</v>
      </c>
      <c r="H19" s="215">
        <v>108725</v>
      </c>
      <c r="I19" s="13"/>
      <c r="J19" s="145"/>
      <c r="K19" s="13"/>
      <c r="L19" s="13"/>
      <c r="M19" s="13"/>
      <c r="N19" s="13"/>
      <c r="O19" s="13"/>
      <c r="P19" s="145"/>
      <c r="Q19" s="13"/>
      <c r="R19" s="13"/>
      <c r="S19" s="152"/>
      <c r="T19" s="13"/>
      <c r="U19" s="13">
        <f t="shared" si="4"/>
        <v>0</v>
      </c>
    </row>
    <row r="20" spans="1:21" ht="25.5" hidden="1">
      <c r="A20" s="211">
        <v>40022408</v>
      </c>
      <c r="B20" s="10">
        <v>33</v>
      </c>
      <c r="C20" s="11" t="s">
        <v>27</v>
      </c>
      <c r="D20" s="10">
        <v>125</v>
      </c>
      <c r="E20" s="12" t="s">
        <v>132</v>
      </c>
      <c r="F20" s="12" t="s">
        <v>804</v>
      </c>
      <c r="G20" s="12" t="s">
        <v>83</v>
      </c>
      <c r="H20" s="215">
        <v>99339</v>
      </c>
      <c r="I20" s="13"/>
      <c r="J20" s="145"/>
      <c r="K20" s="13"/>
      <c r="L20" s="13"/>
      <c r="M20" s="13"/>
      <c r="N20" s="13"/>
      <c r="O20" s="13"/>
      <c r="P20" s="145"/>
      <c r="Q20" s="13"/>
      <c r="R20" s="13"/>
      <c r="S20" s="152"/>
      <c r="T20" s="13"/>
      <c r="U20" s="13">
        <f t="shared" si="4"/>
        <v>0</v>
      </c>
    </row>
    <row r="21" spans="1:21" hidden="1">
      <c r="A21" s="211">
        <v>40054280</v>
      </c>
      <c r="B21" s="10">
        <v>33</v>
      </c>
      <c r="C21" s="11" t="s">
        <v>27</v>
      </c>
      <c r="D21" s="10">
        <v>125</v>
      </c>
      <c r="E21" s="12" t="s">
        <v>132</v>
      </c>
      <c r="F21" s="12" t="s">
        <v>805</v>
      </c>
      <c r="G21" s="12" t="s">
        <v>94</v>
      </c>
      <c r="H21" s="215">
        <v>185307</v>
      </c>
      <c r="I21" s="13"/>
      <c r="J21" s="145"/>
      <c r="K21" s="13"/>
      <c r="L21" s="13"/>
      <c r="M21" s="13"/>
      <c r="N21" s="13"/>
      <c r="O21" s="13"/>
      <c r="P21" s="145"/>
      <c r="Q21" s="13"/>
      <c r="R21" s="13"/>
      <c r="S21" s="152"/>
      <c r="T21" s="13"/>
      <c r="U21" s="13">
        <f t="shared" si="4"/>
        <v>0</v>
      </c>
    </row>
    <row r="22" spans="1:21" hidden="1">
      <c r="A22" s="211">
        <v>40046617</v>
      </c>
      <c r="B22" s="10">
        <v>33</v>
      </c>
      <c r="C22" s="11" t="s">
        <v>27</v>
      </c>
      <c r="D22" s="10">
        <v>125</v>
      </c>
      <c r="E22" s="12" t="s">
        <v>132</v>
      </c>
      <c r="F22" s="12" t="s">
        <v>806</v>
      </c>
      <c r="G22" s="12" t="s">
        <v>99</v>
      </c>
      <c r="H22" s="215">
        <v>90823</v>
      </c>
      <c r="I22" s="13"/>
      <c r="J22" s="145"/>
      <c r="K22" s="13"/>
      <c r="L22" s="13"/>
      <c r="M22" s="13"/>
      <c r="N22" s="13"/>
      <c r="O22" s="13"/>
      <c r="P22" s="145"/>
      <c r="Q22" s="13"/>
      <c r="R22" s="13"/>
      <c r="S22" s="152"/>
      <c r="T22" s="13"/>
      <c r="U22" s="13">
        <f t="shared" si="4"/>
        <v>0</v>
      </c>
    </row>
    <row r="23" spans="1:21" ht="25.5">
      <c r="A23" s="211">
        <v>40044387</v>
      </c>
      <c r="B23" s="10">
        <v>33</v>
      </c>
      <c r="C23" s="11" t="s">
        <v>27</v>
      </c>
      <c r="D23" s="10">
        <v>125</v>
      </c>
      <c r="E23" s="12" t="s">
        <v>132</v>
      </c>
      <c r="F23" s="12" t="s">
        <v>807</v>
      </c>
      <c r="G23" s="12" t="s">
        <v>84</v>
      </c>
      <c r="H23" s="215">
        <v>123054</v>
      </c>
      <c r="I23" s="13"/>
      <c r="J23" s="145"/>
      <c r="K23" s="13">
        <v>18078.952000000001</v>
      </c>
      <c r="L23" s="13"/>
      <c r="M23" s="13"/>
      <c r="N23" s="13"/>
      <c r="O23" s="13"/>
      <c r="P23" s="145"/>
      <c r="Q23" s="13"/>
      <c r="R23" s="13"/>
      <c r="S23" s="152"/>
      <c r="T23" s="13"/>
      <c r="U23" s="13">
        <f>SUM(I23:T23)</f>
        <v>18078.952000000001</v>
      </c>
    </row>
    <row r="24" spans="1:21" hidden="1">
      <c r="A24" s="211">
        <v>40024164</v>
      </c>
      <c r="B24" s="10">
        <v>33</v>
      </c>
      <c r="C24" s="11" t="s">
        <v>27</v>
      </c>
      <c r="D24" s="10">
        <v>125</v>
      </c>
      <c r="E24" s="12" t="s">
        <v>132</v>
      </c>
      <c r="F24" s="12" t="s">
        <v>808</v>
      </c>
      <c r="G24" s="12" t="s">
        <v>92</v>
      </c>
      <c r="H24" s="215">
        <v>121360</v>
      </c>
      <c r="I24" s="13"/>
      <c r="J24" s="145"/>
      <c r="K24" s="13"/>
      <c r="L24" s="13"/>
      <c r="M24" s="13"/>
      <c r="N24" s="13"/>
      <c r="O24" s="13"/>
      <c r="P24" s="145"/>
      <c r="Q24" s="13"/>
      <c r="R24" s="13"/>
      <c r="S24" s="152"/>
      <c r="T24" s="13"/>
      <c r="U24" s="13">
        <f t="shared" ref="U24:U25" si="5">SUM(I24:T24)</f>
        <v>0</v>
      </c>
    </row>
    <row r="25" spans="1:21" ht="25.5" hidden="1">
      <c r="A25" s="211">
        <v>40045460</v>
      </c>
      <c r="B25" s="10">
        <v>33</v>
      </c>
      <c r="C25" s="11" t="s">
        <v>27</v>
      </c>
      <c r="D25" s="10">
        <v>125</v>
      </c>
      <c r="E25" s="12" t="s">
        <v>132</v>
      </c>
      <c r="F25" s="12" t="s">
        <v>809</v>
      </c>
      <c r="G25" s="12" t="s">
        <v>86</v>
      </c>
      <c r="H25" s="215">
        <v>185247</v>
      </c>
      <c r="I25" s="13"/>
      <c r="J25" s="145"/>
      <c r="K25" s="13"/>
      <c r="L25" s="13"/>
      <c r="M25" s="13"/>
      <c r="N25" s="13"/>
      <c r="O25" s="13"/>
      <c r="P25" s="145"/>
      <c r="Q25" s="13"/>
      <c r="R25" s="13"/>
      <c r="S25" s="152"/>
      <c r="T25" s="13"/>
      <c r="U25" s="13">
        <f t="shared" si="5"/>
        <v>0</v>
      </c>
    </row>
    <row r="26" spans="1:21" ht="25.5">
      <c r="A26" s="211">
        <v>40042912</v>
      </c>
      <c r="B26" s="10">
        <v>33</v>
      </c>
      <c r="C26" s="11" t="s">
        <v>27</v>
      </c>
      <c r="D26" s="10">
        <v>125</v>
      </c>
      <c r="E26" s="12" t="s">
        <v>132</v>
      </c>
      <c r="F26" s="12" t="s">
        <v>810</v>
      </c>
      <c r="G26" s="12" t="s">
        <v>82</v>
      </c>
      <c r="H26" s="215">
        <v>92653</v>
      </c>
      <c r="I26" s="13"/>
      <c r="J26" s="145"/>
      <c r="K26" s="13"/>
      <c r="L26" s="13"/>
      <c r="M26" s="13"/>
      <c r="N26" s="13">
        <v>1712.68</v>
      </c>
      <c r="O26" s="13"/>
      <c r="P26" s="145"/>
      <c r="Q26" s="13"/>
      <c r="R26" s="13"/>
      <c r="S26" s="152"/>
      <c r="T26" s="13"/>
      <c r="U26" s="13">
        <f>SUM(I26:T26)</f>
        <v>1712.68</v>
      </c>
    </row>
    <row r="27" spans="1:21" ht="25.5">
      <c r="A27" s="211">
        <v>40051812</v>
      </c>
      <c r="B27" s="10">
        <v>33</v>
      </c>
      <c r="C27" s="11" t="s">
        <v>27</v>
      </c>
      <c r="D27" s="10">
        <v>125</v>
      </c>
      <c r="E27" s="12" t="s">
        <v>132</v>
      </c>
      <c r="F27" s="12" t="s">
        <v>811</v>
      </c>
      <c r="G27" s="12" t="s">
        <v>90</v>
      </c>
      <c r="H27" s="215">
        <v>185307</v>
      </c>
      <c r="I27" s="13"/>
      <c r="J27" s="145">
        <v>44059.415999999997</v>
      </c>
      <c r="K27" s="13"/>
      <c r="L27" s="13"/>
      <c r="M27" s="13"/>
      <c r="N27" s="13"/>
      <c r="O27" s="13"/>
      <c r="P27" s="145"/>
      <c r="Q27" s="13"/>
      <c r="R27" s="13"/>
      <c r="S27" s="152"/>
      <c r="T27" s="13"/>
      <c r="U27" s="13">
        <f t="shared" ref="U27:U28" si="6">SUM(I27:T27)</f>
        <v>44059.415999999997</v>
      </c>
    </row>
    <row r="28" spans="1:21" hidden="1">
      <c r="A28" s="211">
        <v>40046990</v>
      </c>
      <c r="B28" s="10">
        <v>33</v>
      </c>
      <c r="C28" s="11" t="s">
        <v>27</v>
      </c>
      <c r="D28" s="10">
        <v>125</v>
      </c>
      <c r="E28" s="12" t="s">
        <v>132</v>
      </c>
      <c r="F28" s="12" t="s">
        <v>812</v>
      </c>
      <c r="G28" s="12" t="s">
        <v>98</v>
      </c>
      <c r="H28" s="215">
        <v>119471.929</v>
      </c>
      <c r="I28" s="13"/>
      <c r="J28" s="145"/>
      <c r="K28" s="13"/>
      <c r="L28" s="13"/>
      <c r="M28" s="13"/>
      <c r="N28" s="13"/>
      <c r="O28" s="13"/>
      <c r="P28" s="145"/>
      <c r="Q28" s="13"/>
      <c r="R28" s="287"/>
      <c r="S28" s="152"/>
      <c r="T28" s="13"/>
      <c r="U28" s="13">
        <f t="shared" si="6"/>
        <v>0</v>
      </c>
    </row>
    <row r="29" spans="1:21" ht="25.5">
      <c r="A29" s="211">
        <v>40024819</v>
      </c>
      <c r="B29" s="10">
        <v>33</v>
      </c>
      <c r="C29" s="11" t="s">
        <v>27</v>
      </c>
      <c r="D29" s="10">
        <v>125</v>
      </c>
      <c r="E29" s="12" t="s">
        <v>132</v>
      </c>
      <c r="F29" s="12" t="s">
        <v>813</v>
      </c>
      <c r="G29" s="12" t="s">
        <v>91</v>
      </c>
      <c r="H29" s="215">
        <v>106866</v>
      </c>
      <c r="I29" s="13"/>
      <c r="J29" s="145"/>
      <c r="K29" s="13">
        <v>1499.4</v>
      </c>
      <c r="L29" s="13"/>
      <c r="M29" s="13"/>
      <c r="N29" s="13"/>
      <c r="O29" s="13"/>
      <c r="P29" s="145"/>
      <c r="Q29" s="13"/>
      <c r="R29" s="287"/>
      <c r="S29" s="152"/>
      <c r="T29" s="13"/>
      <c r="U29" s="13">
        <f t="shared" ref="U29" si="7">SUM(I29:T29)</f>
        <v>1499.4</v>
      </c>
    </row>
    <row r="30" spans="1:21" ht="38.25" hidden="1">
      <c r="A30" s="211">
        <v>40053029</v>
      </c>
      <c r="B30" s="10">
        <v>33</v>
      </c>
      <c r="C30" s="11" t="s">
        <v>27</v>
      </c>
      <c r="D30" s="10">
        <v>125</v>
      </c>
      <c r="E30" s="12" t="s">
        <v>132</v>
      </c>
      <c r="F30" s="12" t="s">
        <v>814</v>
      </c>
      <c r="G30" s="12" t="s">
        <v>91</v>
      </c>
      <c r="H30" s="215">
        <v>87639.008000000002</v>
      </c>
      <c r="I30" s="13"/>
      <c r="J30" s="145"/>
      <c r="K30" s="13"/>
      <c r="L30" s="13"/>
      <c r="M30" s="13"/>
      <c r="N30" s="13"/>
      <c r="O30" s="13"/>
      <c r="P30" s="145"/>
      <c r="Q30" s="13"/>
      <c r="R30" s="13"/>
      <c r="S30" s="152"/>
      <c r="T30" s="13"/>
      <c r="U30" s="13">
        <f t="shared" ref="U30" si="8">SUM(I30:T30)</f>
        <v>0</v>
      </c>
    </row>
    <row r="31" spans="1:21" ht="25.5" hidden="1">
      <c r="A31" s="211">
        <v>40044145</v>
      </c>
      <c r="B31" s="10">
        <v>33</v>
      </c>
      <c r="C31" s="11" t="s">
        <v>27</v>
      </c>
      <c r="D31" s="10">
        <v>125</v>
      </c>
      <c r="E31" s="12" t="s">
        <v>132</v>
      </c>
      <c r="F31" s="12" t="s">
        <v>815</v>
      </c>
      <c r="G31" s="12" t="s">
        <v>93</v>
      </c>
      <c r="H31" s="215">
        <v>50018.535000000003</v>
      </c>
      <c r="I31" s="13"/>
      <c r="J31" s="145"/>
      <c r="K31" s="13"/>
      <c r="L31" s="13"/>
      <c r="M31" s="13"/>
      <c r="N31" s="13"/>
      <c r="O31" s="13"/>
      <c r="P31" s="145"/>
      <c r="Q31" s="13"/>
      <c r="R31" s="287"/>
      <c r="S31" s="152"/>
      <c r="T31" s="13"/>
      <c r="U31" s="13">
        <f t="shared" ref="U31" si="9">SUM(I31:T31)</f>
        <v>0</v>
      </c>
    </row>
    <row r="32" spans="1:21" ht="25.5" hidden="1">
      <c r="A32" s="211">
        <v>40044142</v>
      </c>
      <c r="B32" s="10">
        <v>33</v>
      </c>
      <c r="C32" s="11" t="s">
        <v>27</v>
      </c>
      <c r="D32" s="10">
        <v>125</v>
      </c>
      <c r="E32" s="12" t="s">
        <v>132</v>
      </c>
      <c r="F32" s="12" t="s">
        <v>816</v>
      </c>
      <c r="G32" s="12" t="s">
        <v>93</v>
      </c>
      <c r="H32" s="215">
        <v>123910.465</v>
      </c>
      <c r="I32" s="13"/>
      <c r="J32" s="145"/>
      <c r="K32" s="13"/>
      <c r="L32" s="13"/>
      <c r="M32" s="13"/>
      <c r="N32" s="13"/>
      <c r="O32" s="13"/>
      <c r="P32" s="145"/>
      <c r="Q32" s="13"/>
      <c r="R32" s="13"/>
      <c r="S32" s="152"/>
      <c r="T32" s="13"/>
      <c r="U32" s="13">
        <f>SUM(I32:T32)</f>
        <v>0</v>
      </c>
    </row>
    <row r="33" spans="1:21" hidden="1">
      <c r="A33" s="211">
        <v>40024226</v>
      </c>
      <c r="B33" s="10">
        <v>33</v>
      </c>
      <c r="C33" s="11" t="s">
        <v>27</v>
      </c>
      <c r="D33" s="10">
        <v>125</v>
      </c>
      <c r="E33" s="12" t="s">
        <v>132</v>
      </c>
      <c r="F33" s="12" t="s">
        <v>817</v>
      </c>
      <c r="G33" s="12" t="s">
        <v>90</v>
      </c>
      <c r="H33" s="215">
        <v>41293</v>
      </c>
      <c r="I33" s="13"/>
      <c r="J33" s="145"/>
      <c r="K33" s="13"/>
      <c r="L33" s="13"/>
      <c r="M33" s="13"/>
      <c r="N33" s="13"/>
      <c r="O33" s="13"/>
      <c r="P33" s="145"/>
      <c r="Q33" s="13"/>
      <c r="R33" s="13"/>
      <c r="S33" s="152"/>
      <c r="T33" s="13"/>
      <c r="U33" s="13">
        <f t="shared" ref="U33" si="10">SUM(I33:T33)</f>
        <v>0</v>
      </c>
    </row>
    <row r="34" spans="1:21" ht="25.5">
      <c r="A34" s="211">
        <v>40055075</v>
      </c>
      <c r="B34" s="10">
        <v>33</v>
      </c>
      <c r="C34" s="11" t="s">
        <v>27</v>
      </c>
      <c r="D34" s="10">
        <v>125</v>
      </c>
      <c r="E34" s="12" t="s">
        <v>132</v>
      </c>
      <c r="F34" s="12" t="s">
        <v>818</v>
      </c>
      <c r="G34" s="12" t="s">
        <v>100</v>
      </c>
      <c r="H34" s="215">
        <v>184680.21100000001</v>
      </c>
      <c r="I34" s="13"/>
      <c r="J34" s="145">
        <v>10854.383</v>
      </c>
      <c r="K34" s="13">
        <v>17209.388999999999</v>
      </c>
      <c r="L34" s="13">
        <v>18694.834999999999</v>
      </c>
      <c r="M34" s="13">
        <v>14537.77</v>
      </c>
      <c r="N34" s="13">
        <v>14097.489</v>
      </c>
      <c r="O34" s="13"/>
      <c r="P34" s="145"/>
      <c r="Q34" s="13"/>
      <c r="R34" s="13"/>
      <c r="S34" s="152"/>
      <c r="T34" s="13"/>
      <c r="U34" s="13">
        <f t="shared" ref="U34" si="11">SUM(I34:T34)</f>
        <v>75393.865999999995</v>
      </c>
    </row>
    <row r="35" spans="1:21" ht="25.5" hidden="1">
      <c r="A35" s="211">
        <v>40024791</v>
      </c>
      <c r="B35" s="10">
        <v>33</v>
      </c>
      <c r="C35" s="11" t="s">
        <v>27</v>
      </c>
      <c r="D35" s="10">
        <v>125</v>
      </c>
      <c r="E35" s="12" t="s">
        <v>132</v>
      </c>
      <c r="F35" s="12" t="s">
        <v>819</v>
      </c>
      <c r="G35" s="12" t="s">
        <v>87</v>
      </c>
      <c r="H35" s="215">
        <v>110161</v>
      </c>
      <c r="I35" s="13"/>
      <c r="J35" s="145"/>
      <c r="K35" s="13"/>
      <c r="L35" s="13"/>
      <c r="M35" s="13"/>
      <c r="N35" s="13"/>
      <c r="O35" s="13"/>
      <c r="P35" s="145"/>
      <c r="Q35" s="13"/>
      <c r="R35" s="13"/>
      <c r="S35" s="152"/>
      <c r="T35" s="13"/>
      <c r="U35" s="13">
        <f t="shared" ref="U35" si="12">SUM(I35:T35)</f>
        <v>0</v>
      </c>
    </row>
    <row r="36" spans="1:21" ht="38.25" hidden="1">
      <c r="A36" s="211">
        <v>40054796</v>
      </c>
      <c r="B36" s="10">
        <v>33</v>
      </c>
      <c r="C36" s="11" t="s">
        <v>27</v>
      </c>
      <c r="D36" s="10">
        <v>125</v>
      </c>
      <c r="E36" s="12" t="s">
        <v>132</v>
      </c>
      <c r="F36" s="12" t="s">
        <v>820</v>
      </c>
      <c r="G36" s="12" t="s">
        <v>87</v>
      </c>
      <c r="H36" s="215">
        <v>185307</v>
      </c>
      <c r="I36" s="13"/>
      <c r="J36" s="145"/>
      <c r="K36" s="13"/>
      <c r="L36" s="13"/>
      <c r="M36" s="13"/>
      <c r="N36" s="13"/>
      <c r="O36" s="13"/>
      <c r="P36" s="145"/>
      <c r="Q36" s="13"/>
      <c r="R36" s="13"/>
      <c r="S36" s="152"/>
      <c r="T36" s="13"/>
      <c r="U36" s="13">
        <f t="shared" ref="U36" si="13">SUM(I36:T36)</f>
        <v>0</v>
      </c>
    </row>
    <row r="37" spans="1:21" hidden="1">
      <c r="A37" s="211">
        <v>40043581</v>
      </c>
      <c r="B37" s="10">
        <v>33</v>
      </c>
      <c r="C37" s="11" t="s">
        <v>27</v>
      </c>
      <c r="D37" s="10">
        <v>125</v>
      </c>
      <c r="E37" s="12" t="s">
        <v>132</v>
      </c>
      <c r="F37" s="12" t="s">
        <v>821</v>
      </c>
      <c r="G37" s="12" t="s">
        <v>87</v>
      </c>
      <c r="H37" s="215">
        <v>81000</v>
      </c>
      <c r="I37" s="13"/>
      <c r="J37" s="145"/>
      <c r="K37" s="13"/>
      <c r="L37" s="13"/>
      <c r="M37" s="13"/>
      <c r="N37" s="13"/>
      <c r="O37" s="13"/>
      <c r="P37" s="145"/>
      <c r="Q37" s="13"/>
      <c r="R37" s="13"/>
      <c r="S37" s="152"/>
      <c r="T37" s="13"/>
      <c r="U37" s="13">
        <f>SUM(I37:T37)</f>
        <v>0</v>
      </c>
    </row>
    <row r="38" spans="1:21" ht="25.5">
      <c r="A38" s="211">
        <v>40024661</v>
      </c>
      <c r="B38" s="10">
        <v>33</v>
      </c>
      <c r="C38" s="11" t="s">
        <v>27</v>
      </c>
      <c r="D38" s="10">
        <v>125</v>
      </c>
      <c r="E38" s="12" t="s">
        <v>132</v>
      </c>
      <c r="F38" s="12" t="s">
        <v>822</v>
      </c>
      <c r="G38" s="12" t="s">
        <v>97</v>
      </c>
      <c r="H38" s="215">
        <v>60000</v>
      </c>
      <c r="I38" s="13"/>
      <c r="J38" s="145"/>
      <c r="K38" s="13"/>
      <c r="L38" s="13">
        <v>4880.2929999999997</v>
      </c>
      <c r="M38" s="13"/>
      <c r="N38" s="13"/>
      <c r="O38" s="13"/>
      <c r="P38" s="145"/>
      <c r="Q38" s="13"/>
      <c r="R38" s="13"/>
      <c r="S38" s="152"/>
      <c r="T38" s="13"/>
      <c r="U38" s="13">
        <f t="shared" ref="U38:U43" si="14">SUM(I38:T38)</f>
        <v>4880.2929999999997</v>
      </c>
    </row>
    <row r="39" spans="1:21" ht="25.5">
      <c r="A39" s="211">
        <v>40054187</v>
      </c>
      <c r="B39" s="10">
        <v>33</v>
      </c>
      <c r="C39" s="11" t="s">
        <v>27</v>
      </c>
      <c r="D39" s="10">
        <v>125</v>
      </c>
      <c r="E39" s="12" t="s">
        <v>132</v>
      </c>
      <c r="F39" s="12" t="s">
        <v>823</v>
      </c>
      <c r="G39" s="12" t="s">
        <v>97</v>
      </c>
      <c r="H39" s="215">
        <v>89941</v>
      </c>
      <c r="I39" s="13"/>
      <c r="J39" s="145"/>
      <c r="K39" s="13"/>
      <c r="L39" s="13">
        <v>3813.7660000000001</v>
      </c>
      <c r="M39" s="13"/>
      <c r="N39" s="13">
        <v>37886.947</v>
      </c>
      <c r="O39" s="13"/>
      <c r="P39" s="145"/>
      <c r="Q39" s="13"/>
      <c r="R39" s="13"/>
      <c r="S39" s="152"/>
      <c r="T39" s="13"/>
      <c r="U39" s="13">
        <f t="shared" si="14"/>
        <v>41700.713000000003</v>
      </c>
    </row>
    <row r="40" spans="1:21" ht="25.5">
      <c r="A40" s="211">
        <v>40062899</v>
      </c>
      <c r="B40" s="10">
        <v>33</v>
      </c>
      <c r="C40" s="11" t="s">
        <v>27</v>
      </c>
      <c r="D40" s="10">
        <v>125</v>
      </c>
      <c r="E40" s="12" t="s">
        <v>132</v>
      </c>
      <c r="F40" s="12" t="s">
        <v>824</v>
      </c>
      <c r="G40" s="12" t="s">
        <v>97</v>
      </c>
      <c r="H40" s="215">
        <v>146283</v>
      </c>
      <c r="I40" s="13"/>
      <c r="J40" s="145"/>
      <c r="K40" s="13"/>
      <c r="L40" s="13">
        <v>7970.3429999999998</v>
      </c>
      <c r="M40" s="13"/>
      <c r="N40" s="13">
        <v>40770.188999999998</v>
      </c>
      <c r="O40" s="13"/>
      <c r="P40" s="145"/>
      <c r="Q40" s="13"/>
      <c r="R40" s="13"/>
      <c r="S40" s="152"/>
      <c r="T40" s="13"/>
      <c r="U40" s="13">
        <f t="shared" si="14"/>
        <v>48740.531999999999</v>
      </c>
    </row>
    <row r="41" spans="1:21" ht="25.5">
      <c r="A41" s="211">
        <v>40063632</v>
      </c>
      <c r="B41" s="10">
        <v>33</v>
      </c>
      <c r="C41" s="11" t="s">
        <v>27</v>
      </c>
      <c r="D41" s="10">
        <v>125</v>
      </c>
      <c r="E41" s="12" t="s">
        <v>132</v>
      </c>
      <c r="F41" s="12" t="s">
        <v>825</v>
      </c>
      <c r="G41" s="12" t="s">
        <v>94</v>
      </c>
      <c r="H41" s="215">
        <v>173983</v>
      </c>
      <c r="I41" s="13"/>
      <c r="J41" s="145"/>
      <c r="K41" s="13"/>
      <c r="L41" s="13">
        <v>30884.37</v>
      </c>
      <c r="M41" s="13">
        <v>115945.159</v>
      </c>
      <c r="N41" s="13"/>
      <c r="O41" s="13"/>
      <c r="P41" s="145"/>
      <c r="Q41" s="13"/>
      <c r="R41" s="13"/>
      <c r="S41" s="152"/>
      <c r="T41" s="13"/>
      <c r="U41" s="13">
        <f t="shared" si="14"/>
        <v>146829.52900000001</v>
      </c>
    </row>
    <row r="42" spans="1:21" ht="25.5">
      <c r="A42" s="211">
        <v>40063985</v>
      </c>
      <c r="B42" s="10">
        <v>33</v>
      </c>
      <c r="C42" s="11" t="s">
        <v>27</v>
      </c>
      <c r="D42" s="10">
        <v>125</v>
      </c>
      <c r="E42" s="12" t="s">
        <v>132</v>
      </c>
      <c r="F42" s="12" t="s">
        <v>826</v>
      </c>
      <c r="G42" s="12" t="s">
        <v>90</v>
      </c>
      <c r="H42" s="215">
        <v>82236</v>
      </c>
      <c r="I42" s="13"/>
      <c r="J42" s="145"/>
      <c r="K42" s="13"/>
      <c r="L42" s="13">
        <v>37905.279999999999</v>
      </c>
      <c r="M42" s="13"/>
      <c r="N42" s="13">
        <v>35135.493999999999</v>
      </c>
      <c r="O42" s="13"/>
      <c r="P42" s="145"/>
      <c r="Q42" s="13"/>
      <c r="R42" s="13"/>
      <c r="S42" s="152"/>
      <c r="T42" s="13"/>
      <c r="U42" s="13">
        <f t="shared" si="14"/>
        <v>73040.774000000005</v>
      </c>
    </row>
    <row r="43" spans="1:21">
      <c r="A43" s="211">
        <v>40063739</v>
      </c>
      <c r="B43" s="10">
        <v>33</v>
      </c>
      <c r="C43" s="11" t="s">
        <v>27</v>
      </c>
      <c r="D43" s="10">
        <v>125</v>
      </c>
      <c r="E43" s="12" t="s">
        <v>132</v>
      </c>
      <c r="F43" s="12" t="s">
        <v>827</v>
      </c>
      <c r="G43" s="12" t="s">
        <v>94</v>
      </c>
      <c r="H43" s="215">
        <v>80000</v>
      </c>
      <c r="I43" s="13"/>
      <c r="J43" s="145"/>
      <c r="K43" s="13"/>
      <c r="L43" s="13">
        <v>59773.728999999999</v>
      </c>
      <c r="M43" s="13">
        <v>12119.645</v>
      </c>
      <c r="N43" s="13"/>
      <c r="O43" s="13"/>
      <c r="P43" s="145"/>
      <c r="Q43" s="13"/>
      <c r="R43" s="13"/>
      <c r="S43" s="152"/>
      <c r="T43" s="13"/>
      <c r="U43" s="13">
        <f t="shared" si="14"/>
        <v>71893.373999999996</v>
      </c>
    </row>
    <row r="44" spans="1:21" ht="25.5">
      <c r="A44" s="211">
        <v>40062262</v>
      </c>
      <c r="B44" s="10">
        <v>33</v>
      </c>
      <c r="C44" s="11" t="s">
        <v>27</v>
      </c>
      <c r="D44" s="10">
        <v>125</v>
      </c>
      <c r="E44" s="12" t="s">
        <v>132</v>
      </c>
      <c r="F44" s="12" t="s">
        <v>828</v>
      </c>
      <c r="G44" s="12" t="s">
        <v>94</v>
      </c>
      <c r="H44" s="215">
        <v>193998</v>
      </c>
      <c r="I44" s="13"/>
      <c r="J44" s="145"/>
      <c r="K44" s="13">
        <v>51245.008999999998</v>
      </c>
      <c r="L44" s="13">
        <v>92882.142999999996</v>
      </c>
      <c r="M44" s="13">
        <v>29833.643</v>
      </c>
      <c r="N44" s="13"/>
      <c r="O44" s="13"/>
      <c r="P44" s="145"/>
      <c r="Q44" s="13"/>
      <c r="R44" s="13"/>
      <c r="S44" s="152"/>
      <c r="T44" s="13"/>
      <c r="U44" s="13">
        <f>SUM(I44:T44)</f>
        <v>173960.79500000001</v>
      </c>
    </row>
    <row r="45" spans="1:21" ht="25.5">
      <c r="A45" s="211">
        <v>40024665</v>
      </c>
      <c r="B45" s="10">
        <v>33</v>
      </c>
      <c r="C45" s="11" t="s">
        <v>27</v>
      </c>
      <c r="D45" s="10">
        <v>125</v>
      </c>
      <c r="E45" s="12" t="s">
        <v>132</v>
      </c>
      <c r="F45" s="12" t="s">
        <v>829</v>
      </c>
      <c r="G45" s="12" t="s">
        <v>97</v>
      </c>
      <c r="H45" s="215">
        <v>95367</v>
      </c>
      <c r="I45" s="13"/>
      <c r="J45" s="145"/>
      <c r="K45" s="13"/>
      <c r="L45" s="13"/>
      <c r="M45" s="13">
        <v>23437.24</v>
      </c>
      <c r="N45" s="13">
        <v>9966.7250000000004</v>
      </c>
      <c r="O45" s="13"/>
      <c r="P45" s="145"/>
      <c r="Q45" s="13"/>
      <c r="R45" s="13"/>
      <c r="S45" s="152"/>
      <c r="T45" s="13"/>
      <c r="U45" s="13">
        <f t="shared" ref="U45:U47" si="15">SUM(I45:T45)</f>
        <v>33403.965000000004</v>
      </c>
    </row>
    <row r="46" spans="1:21" ht="38.25">
      <c r="A46" s="211">
        <v>40062901</v>
      </c>
      <c r="B46" s="10">
        <v>33</v>
      </c>
      <c r="C46" s="11" t="s">
        <v>27</v>
      </c>
      <c r="D46" s="10">
        <v>125</v>
      </c>
      <c r="E46" s="12" t="s">
        <v>132</v>
      </c>
      <c r="F46" s="12" t="s">
        <v>830</v>
      </c>
      <c r="G46" s="12" t="s">
        <v>97</v>
      </c>
      <c r="H46" s="215">
        <v>115000</v>
      </c>
      <c r="I46" s="13"/>
      <c r="J46" s="145"/>
      <c r="K46" s="13"/>
      <c r="L46" s="13"/>
      <c r="M46" s="13">
        <v>64327.728999999999</v>
      </c>
      <c r="N46" s="13">
        <v>37144.731</v>
      </c>
      <c r="O46" s="13"/>
      <c r="P46" s="145"/>
      <c r="Q46" s="13"/>
      <c r="R46" s="13"/>
      <c r="S46" s="152"/>
      <c r="T46" s="13"/>
      <c r="U46" s="13">
        <f t="shared" si="15"/>
        <v>101472.45999999999</v>
      </c>
    </row>
    <row r="47" spans="1:21" ht="25.5">
      <c r="A47" s="211">
        <v>40062895</v>
      </c>
      <c r="B47" s="10">
        <v>33</v>
      </c>
      <c r="C47" s="11" t="s">
        <v>27</v>
      </c>
      <c r="D47" s="10">
        <v>125</v>
      </c>
      <c r="E47" s="12" t="s">
        <v>132</v>
      </c>
      <c r="F47" s="12" t="s">
        <v>831</v>
      </c>
      <c r="G47" s="12" t="s">
        <v>97</v>
      </c>
      <c r="H47" s="215">
        <v>150000</v>
      </c>
      <c r="I47" s="13"/>
      <c r="J47" s="145"/>
      <c r="K47" s="13"/>
      <c r="L47" s="13"/>
      <c r="M47" s="13">
        <v>47725.343000000001</v>
      </c>
      <c r="N47" s="13">
        <v>37748.495999999999</v>
      </c>
      <c r="O47" s="13"/>
      <c r="P47" s="145"/>
      <c r="Q47" s="13"/>
      <c r="R47" s="13"/>
      <c r="S47" s="152"/>
      <c r="T47" s="13"/>
      <c r="U47" s="13">
        <f t="shared" si="15"/>
        <v>85473.839000000007</v>
      </c>
    </row>
    <row r="48" spans="1:21" ht="25.5">
      <c r="A48" s="211">
        <v>40042652</v>
      </c>
      <c r="B48" s="10">
        <v>33</v>
      </c>
      <c r="C48" s="11" t="s">
        <v>27</v>
      </c>
      <c r="D48" s="10">
        <v>125</v>
      </c>
      <c r="E48" s="12" t="s">
        <v>132</v>
      </c>
      <c r="F48" s="12" t="s">
        <v>832</v>
      </c>
      <c r="G48" s="12" t="s">
        <v>94</v>
      </c>
      <c r="H48" s="215">
        <v>64797</v>
      </c>
      <c r="I48" s="13"/>
      <c r="J48" s="145"/>
      <c r="K48" s="13"/>
      <c r="L48" s="13"/>
      <c r="M48" s="13"/>
      <c r="N48" s="13">
        <v>10579.486000000001</v>
      </c>
      <c r="O48" s="13"/>
      <c r="P48" s="145"/>
      <c r="Q48" s="13"/>
      <c r="R48" s="13"/>
      <c r="S48" s="152"/>
      <c r="T48" s="13"/>
      <c r="U48" s="13">
        <f t="shared" ref="U48:U51" si="16">SUM(I48:T48)</f>
        <v>10579.486000000001</v>
      </c>
    </row>
    <row r="49" spans="1:21" ht="51">
      <c r="A49" s="211">
        <v>40062806</v>
      </c>
      <c r="B49" s="10">
        <v>33</v>
      </c>
      <c r="C49" s="11" t="s">
        <v>27</v>
      </c>
      <c r="D49" s="10">
        <v>125</v>
      </c>
      <c r="E49" s="12" t="s">
        <v>132</v>
      </c>
      <c r="F49" s="12" t="s">
        <v>833</v>
      </c>
      <c r="G49" s="12" t="s">
        <v>86</v>
      </c>
      <c r="H49" s="215">
        <v>193942</v>
      </c>
      <c r="I49" s="13"/>
      <c r="J49" s="145"/>
      <c r="K49" s="13"/>
      <c r="L49" s="13"/>
      <c r="M49" s="13"/>
      <c r="N49" s="13">
        <v>77672.606</v>
      </c>
      <c r="O49" s="13"/>
      <c r="P49" s="145"/>
      <c r="Q49" s="13"/>
      <c r="R49" s="13"/>
      <c r="S49" s="152"/>
      <c r="T49" s="13"/>
      <c r="U49" s="13">
        <f t="shared" si="16"/>
        <v>77672.606</v>
      </c>
    </row>
    <row r="50" spans="1:21">
      <c r="A50" s="211">
        <v>40025542</v>
      </c>
      <c r="B50" s="10">
        <v>33</v>
      </c>
      <c r="C50" s="11" t="s">
        <v>27</v>
      </c>
      <c r="D50" s="10">
        <v>125</v>
      </c>
      <c r="E50" s="12" t="s">
        <v>132</v>
      </c>
      <c r="F50" s="12" t="s">
        <v>834</v>
      </c>
      <c r="G50" s="12" t="s">
        <v>100</v>
      </c>
      <c r="H50" s="215">
        <v>193931</v>
      </c>
      <c r="I50" s="13"/>
      <c r="J50" s="145"/>
      <c r="K50" s="13"/>
      <c r="L50" s="13"/>
      <c r="M50" s="13"/>
      <c r="N50" s="13">
        <v>13660.611999999999</v>
      </c>
      <c r="O50" s="13"/>
      <c r="P50" s="145"/>
      <c r="Q50" s="13"/>
      <c r="R50" s="13"/>
      <c r="S50" s="152"/>
      <c r="T50" s="13"/>
      <c r="U50" s="13">
        <f t="shared" si="16"/>
        <v>13660.611999999999</v>
      </c>
    </row>
    <row r="51" spans="1:21" ht="25.5">
      <c r="A51" s="211">
        <v>40064215</v>
      </c>
      <c r="B51" s="10">
        <v>33</v>
      </c>
      <c r="C51" s="11" t="s">
        <v>27</v>
      </c>
      <c r="D51" s="10">
        <v>125</v>
      </c>
      <c r="E51" s="12" t="s">
        <v>132</v>
      </c>
      <c r="F51" s="12" t="s">
        <v>835</v>
      </c>
      <c r="G51" s="12" t="s">
        <v>86</v>
      </c>
      <c r="H51" s="215">
        <v>163828</v>
      </c>
      <c r="I51" s="13"/>
      <c r="J51" s="145"/>
      <c r="K51" s="13"/>
      <c r="L51" s="13"/>
      <c r="M51" s="13"/>
      <c r="N51" s="13">
        <v>45461.029000000002</v>
      </c>
      <c r="O51" s="13"/>
      <c r="P51" s="145"/>
      <c r="Q51" s="13"/>
      <c r="R51" s="13"/>
      <c r="S51" s="152"/>
      <c r="T51" s="13"/>
      <c r="U51" s="13">
        <f t="shared" si="16"/>
        <v>45461.029000000002</v>
      </c>
    </row>
    <row r="52" spans="1:21">
      <c r="P52" s="14"/>
      <c r="U52" s="8"/>
    </row>
    <row r="53" spans="1:21" ht="38.25">
      <c r="G53" s="9" t="s">
        <v>79</v>
      </c>
      <c r="H53" s="9" t="s">
        <v>128</v>
      </c>
      <c r="I53" s="7">
        <f>I$2</f>
        <v>45658</v>
      </c>
      <c r="J53" s="7">
        <f t="shared" ref="J53:T53" si="17">J$2</f>
        <v>45689</v>
      </c>
      <c r="K53" s="7">
        <f t="shared" si="17"/>
        <v>45717</v>
      </c>
      <c r="L53" s="7">
        <f t="shared" si="17"/>
        <v>45748</v>
      </c>
      <c r="M53" s="7">
        <f t="shared" si="17"/>
        <v>45778</v>
      </c>
      <c r="N53" s="7">
        <f t="shared" si="17"/>
        <v>45809</v>
      </c>
      <c r="O53" s="7">
        <f t="shared" si="17"/>
        <v>45839</v>
      </c>
      <c r="P53" s="7">
        <f t="shared" si="17"/>
        <v>45870</v>
      </c>
      <c r="Q53" s="7">
        <f t="shared" si="17"/>
        <v>45901</v>
      </c>
      <c r="R53" s="7">
        <f t="shared" si="17"/>
        <v>45931</v>
      </c>
      <c r="S53" s="7">
        <f t="shared" si="17"/>
        <v>45962</v>
      </c>
      <c r="T53" s="7">
        <f t="shared" si="17"/>
        <v>45992</v>
      </c>
      <c r="U53" s="7" t="str">
        <f>U$2</f>
        <v>GASTO 2025</v>
      </c>
    </row>
    <row r="54" spans="1:21">
      <c r="F54" s="14"/>
      <c r="G54" s="12" t="s">
        <v>82</v>
      </c>
      <c r="H54" s="13">
        <f t="shared" ref="H54:H59" si="18">SUMIFS($H$3:$H$37,$G$3:$G$37,G54)</f>
        <v>257211</v>
      </c>
      <c r="I54" s="13">
        <f>SUMIFS(I$3:I$51,$G$3:$G$51,$G54)</f>
        <v>0</v>
      </c>
      <c r="J54" s="13">
        <f t="shared" ref="J54:T59" si="19">SUMIFS(J$3:J$51,$G$3:$G$51,$G54)</f>
        <v>0</v>
      </c>
      <c r="K54" s="13">
        <f t="shared" si="19"/>
        <v>16423.352999999999</v>
      </c>
      <c r="L54" s="13">
        <f t="shared" si="19"/>
        <v>0</v>
      </c>
      <c r="M54" s="13">
        <f t="shared" si="19"/>
        <v>0</v>
      </c>
      <c r="N54" s="13">
        <f>SUMIFS(N$3:N$51,$G$3:$G$51,$G54)</f>
        <v>1712.68</v>
      </c>
      <c r="O54" s="13">
        <f t="shared" ref="O54:T54" si="20">SUMIFS(O$3:O$51,$G$3:$G$51,$G54)</f>
        <v>0</v>
      </c>
      <c r="P54" s="13">
        <f t="shared" si="20"/>
        <v>0</v>
      </c>
      <c r="Q54" s="13">
        <f t="shared" si="20"/>
        <v>0</v>
      </c>
      <c r="R54" s="13">
        <f t="shared" si="20"/>
        <v>0</v>
      </c>
      <c r="S54" s="13">
        <f t="shared" si="20"/>
        <v>0</v>
      </c>
      <c r="T54" s="13">
        <f t="shared" si="20"/>
        <v>0</v>
      </c>
      <c r="U54" s="13">
        <f>SUM(I54:T54)</f>
        <v>18136.032999999999</v>
      </c>
    </row>
    <row r="55" spans="1:21">
      <c r="F55" s="14"/>
      <c r="G55" s="12" t="s">
        <v>84</v>
      </c>
      <c r="H55" s="13">
        <f t="shared" si="18"/>
        <v>222098</v>
      </c>
      <c r="I55" s="13">
        <f>SUMIFS(I$3:I$51,$G$3:$G$51,$G55)</f>
        <v>0</v>
      </c>
      <c r="J55" s="13">
        <f t="shared" si="19"/>
        <v>0</v>
      </c>
      <c r="K55" s="13">
        <f t="shared" si="19"/>
        <v>18078.952000000001</v>
      </c>
      <c r="L55" s="13">
        <f t="shared" si="19"/>
        <v>0</v>
      </c>
      <c r="M55" s="13">
        <f t="shared" si="19"/>
        <v>0</v>
      </c>
      <c r="N55" s="13">
        <f t="shared" si="19"/>
        <v>0</v>
      </c>
      <c r="O55" s="13">
        <f t="shared" si="19"/>
        <v>0</v>
      </c>
      <c r="P55" s="13">
        <f t="shared" si="19"/>
        <v>0</v>
      </c>
      <c r="Q55" s="13">
        <f t="shared" si="19"/>
        <v>0</v>
      </c>
      <c r="R55" s="13">
        <f t="shared" si="19"/>
        <v>0</v>
      </c>
      <c r="S55" s="13">
        <f t="shared" si="19"/>
        <v>0</v>
      </c>
      <c r="T55" s="13">
        <f t="shared" si="19"/>
        <v>0</v>
      </c>
      <c r="U55" s="13">
        <f t="shared" ref="U55:U59" si="21">SUM(I55:T55)</f>
        <v>18078.952000000001</v>
      </c>
    </row>
    <row r="56" spans="1:21">
      <c r="F56" s="14"/>
      <c r="G56" s="12" t="s">
        <v>85</v>
      </c>
      <c r="H56" s="13">
        <f t="shared" si="18"/>
        <v>65000</v>
      </c>
      <c r="I56" s="13">
        <f t="shared" ref="I56:I59" si="22">SUMIFS(I$3:I$51,$G$3:$G$51,$G56)</f>
        <v>0</v>
      </c>
      <c r="J56" s="13">
        <f t="shared" si="19"/>
        <v>0</v>
      </c>
      <c r="K56" s="13">
        <f t="shared" si="19"/>
        <v>0</v>
      </c>
      <c r="L56" s="13">
        <f t="shared" si="19"/>
        <v>0</v>
      </c>
      <c r="M56" s="13">
        <f t="shared" si="19"/>
        <v>0</v>
      </c>
      <c r="N56" s="13">
        <f t="shared" si="19"/>
        <v>0</v>
      </c>
      <c r="O56" s="13">
        <f t="shared" si="19"/>
        <v>0</v>
      </c>
      <c r="P56" s="13">
        <f t="shared" si="19"/>
        <v>0</v>
      </c>
      <c r="Q56" s="13">
        <f t="shared" si="19"/>
        <v>0</v>
      </c>
      <c r="R56" s="13">
        <f t="shared" si="19"/>
        <v>0</v>
      </c>
      <c r="S56" s="13">
        <f t="shared" si="19"/>
        <v>0</v>
      </c>
      <c r="T56" s="13">
        <f t="shared" si="19"/>
        <v>0</v>
      </c>
      <c r="U56" s="13">
        <f t="shared" si="21"/>
        <v>0</v>
      </c>
    </row>
    <row r="57" spans="1:21">
      <c r="F57" s="14"/>
      <c r="G57" s="12" t="s">
        <v>83</v>
      </c>
      <c r="H57" s="13">
        <f t="shared" si="18"/>
        <v>208064</v>
      </c>
      <c r="I57" s="13">
        <f t="shared" si="22"/>
        <v>0</v>
      </c>
      <c r="J57" s="13">
        <f t="shared" si="19"/>
        <v>0</v>
      </c>
      <c r="K57" s="13">
        <f t="shared" si="19"/>
        <v>0</v>
      </c>
      <c r="L57" s="13">
        <f t="shared" si="19"/>
        <v>0</v>
      </c>
      <c r="M57" s="13">
        <f t="shared" si="19"/>
        <v>0</v>
      </c>
      <c r="N57" s="13">
        <f t="shared" si="19"/>
        <v>0</v>
      </c>
      <c r="O57" s="13">
        <f t="shared" si="19"/>
        <v>0</v>
      </c>
      <c r="P57" s="13">
        <f t="shared" si="19"/>
        <v>0</v>
      </c>
      <c r="Q57" s="13">
        <f t="shared" si="19"/>
        <v>0</v>
      </c>
      <c r="R57" s="13">
        <f t="shared" si="19"/>
        <v>0</v>
      </c>
      <c r="S57" s="13">
        <f t="shared" si="19"/>
        <v>0</v>
      </c>
      <c r="T57" s="13">
        <f t="shared" si="19"/>
        <v>0</v>
      </c>
      <c r="U57" s="13">
        <f t="shared" si="21"/>
        <v>0</v>
      </c>
    </row>
    <row r="58" spans="1:21">
      <c r="F58" s="14"/>
      <c r="G58" s="12" t="s">
        <v>86</v>
      </c>
      <c r="H58" s="13">
        <f t="shared" si="18"/>
        <v>505712.174</v>
      </c>
      <c r="I58" s="13">
        <f t="shared" si="22"/>
        <v>0</v>
      </c>
      <c r="J58" s="13">
        <f t="shared" si="19"/>
        <v>13747.683999999999</v>
      </c>
      <c r="K58" s="13">
        <f t="shared" si="19"/>
        <v>31087.361000000001</v>
      </c>
      <c r="L58" s="13">
        <f t="shared" si="19"/>
        <v>0</v>
      </c>
      <c r="M58" s="13">
        <f t="shared" si="19"/>
        <v>0</v>
      </c>
      <c r="N58" s="13">
        <f t="shared" si="19"/>
        <v>123133.63500000001</v>
      </c>
      <c r="O58" s="13">
        <f t="shared" si="19"/>
        <v>0</v>
      </c>
      <c r="P58" s="13">
        <f t="shared" si="19"/>
        <v>0</v>
      </c>
      <c r="Q58" s="13">
        <f t="shared" si="19"/>
        <v>0</v>
      </c>
      <c r="R58" s="13">
        <f t="shared" si="19"/>
        <v>0</v>
      </c>
      <c r="S58" s="13">
        <f t="shared" si="19"/>
        <v>0</v>
      </c>
      <c r="T58" s="13">
        <f t="shared" si="19"/>
        <v>0</v>
      </c>
      <c r="U58" s="13">
        <f t="shared" si="21"/>
        <v>167968.68</v>
      </c>
    </row>
    <row r="59" spans="1:21">
      <c r="F59" s="14"/>
      <c r="G59" s="12" t="s">
        <v>87</v>
      </c>
      <c r="H59" s="13">
        <f t="shared" si="18"/>
        <v>376468</v>
      </c>
      <c r="I59" s="13">
        <f t="shared" si="22"/>
        <v>0</v>
      </c>
      <c r="J59" s="13">
        <f t="shared" si="19"/>
        <v>0</v>
      </c>
      <c r="K59" s="13">
        <f t="shared" si="19"/>
        <v>0</v>
      </c>
      <c r="L59" s="13">
        <f t="shared" si="19"/>
        <v>0</v>
      </c>
      <c r="M59" s="13">
        <f t="shared" si="19"/>
        <v>0</v>
      </c>
      <c r="N59" s="13">
        <f t="shared" si="19"/>
        <v>0</v>
      </c>
      <c r="O59" s="13">
        <f t="shared" si="19"/>
        <v>0</v>
      </c>
      <c r="P59" s="13">
        <f t="shared" si="19"/>
        <v>0</v>
      </c>
      <c r="Q59" s="13">
        <f t="shared" si="19"/>
        <v>0</v>
      </c>
      <c r="R59" s="13">
        <f t="shared" si="19"/>
        <v>0</v>
      </c>
      <c r="S59" s="13">
        <f t="shared" si="19"/>
        <v>0</v>
      </c>
      <c r="T59" s="13">
        <f t="shared" si="19"/>
        <v>0</v>
      </c>
      <c r="U59" s="13">
        <f t="shared" si="21"/>
        <v>0</v>
      </c>
    </row>
    <row r="60" spans="1:21">
      <c r="F60" s="14"/>
      <c r="G60" s="15" t="s">
        <v>107</v>
      </c>
      <c r="H60" s="16">
        <f>SUBTOTAL(9,H54:H59)</f>
        <v>1634553.1740000001</v>
      </c>
      <c r="I60" s="16">
        <f t="shared" ref="I60:N60" si="23">SUBTOTAL(9,I54:I59)</f>
        <v>0</v>
      </c>
      <c r="J60" s="16">
        <f>SUBTOTAL(9,J54:J59)</f>
        <v>13747.683999999999</v>
      </c>
      <c r="K60" s="16">
        <f>SUBTOTAL(9,K54:K59)</f>
        <v>65589.665999999997</v>
      </c>
      <c r="L60" s="16">
        <f>SUBTOTAL(9,L54:L59)</f>
        <v>0</v>
      </c>
      <c r="M60" s="16">
        <f t="shared" si="23"/>
        <v>0</v>
      </c>
      <c r="N60" s="16">
        <f t="shared" si="23"/>
        <v>124846.315</v>
      </c>
      <c r="O60" s="16">
        <f t="shared" ref="O60:T60" si="24">SUBTOTAL(9,O54:O59)</f>
        <v>0</v>
      </c>
      <c r="P60" s="16">
        <f t="shared" si="24"/>
        <v>0</v>
      </c>
      <c r="Q60" s="16">
        <f t="shared" si="24"/>
        <v>0</v>
      </c>
      <c r="R60" s="16">
        <f t="shared" si="24"/>
        <v>0</v>
      </c>
      <c r="S60" s="16">
        <f t="shared" si="24"/>
        <v>0</v>
      </c>
      <c r="T60" s="16">
        <f t="shared" si="24"/>
        <v>0</v>
      </c>
      <c r="U60" s="16">
        <f>SUBTOTAL(9,U54:U59)</f>
        <v>204183.66499999998</v>
      </c>
    </row>
    <row r="61" spans="1:21">
      <c r="F61" s="14"/>
      <c r="G61" s="12" t="s">
        <v>90</v>
      </c>
      <c r="H61" s="13">
        <f>SUMIFS($H$3:$H$37,$G$3:$G$37,G61)</f>
        <v>346147</v>
      </c>
      <c r="I61" s="13">
        <f>SUMIFS(I$3:I$51,$G$3:$G$51,$G61)</f>
        <v>0</v>
      </c>
      <c r="J61" s="13">
        <f t="shared" ref="J61:T65" si="25">SUMIFS(J$3:J$51,$G$3:$G$51,$G61)</f>
        <v>44059.415999999997</v>
      </c>
      <c r="K61" s="13">
        <f t="shared" si="25"/>
        <v>0</v>
      </c>
      <c r="L61" s="13">
        <f t="shared" si="25"/>
        <v>37905.279999999999</v>
      </c>
      <c r="M61" s="13">
        <f t="shared" si="25"/>
        <v>0</v>
      </c>
      <c r="N61" s="13">
        <f t="shared" si="25"/>
        <v>35135.493999999999</v>
      </c>
      <c r="O61" s="13">
        <f t="shared" si="25"/>
        <v>0</v>
      </c>
      <c r="P61" s="13">
        <f t="shared" si="25"/>
        <v>0</v>
      </c>
      <c r="Q61" s="13">
        <f t="shared" si="25"/>
        <v>0</v>
      </c>
      <c r="R61" s="13">
        <f t="shared" si="25"/>
        <v>0</v>
      </c>
      <c r="S61" s="13">
        <f t="shared" si="25"/>
        <v>0</v>
      </c>
      <c r="T61" s="13">
        <f t="shared" si="25"/>
        <v>0</v>
      </c>
      <c r="U61" s="13">
        <f>SUM(I61:T61)</f>
        <v>117100.19</v>
      </c>
    </row>
    <row r="62" spans="1:21">
      <c r="F62" s="14"/>
      <c r="G62" s="12" t="s">
        <v>92</v>
      </c>
      <c r="H62" s="13">
        <f>SUMIFS($H$3:$H$37,$G$3:$G$37,G62)</f>
        <v>121360</v>
      </c>
      <c r="I62" s="13">
        <f t="shared" ref="I62:I65" si="26">SUMIFS(I$3:I$51,$G$3:$G$51,$G62)</f>
        <v>0</v>
      </c>
      <c r="J62" s="13">
        <f t="shared" si="25"/>
        <v>0</v>
      </c>
      <c r="K62" s="13">
        <f t="shared" si="25"/>
        <v>0</v>
      </c>
      <c r="L62" s="13">
        <f t="shared" si="25"/>
        <v>0</v>
      </c>
      <c r="M62" s="13">
        <f t="shared" si="25"/>
        <v>0</v>
      </c>
      <c r="N62" s="13">
        <f t="shared" si="25"/>
        <v>0</v>
      </c>
      <c r="O62" s="13">
        <f t="shared" si="25"/>
        <v>0</v>
      </c>
      <c r="P62" s="13">
        <f t="shared" si="25"/>
        <v>0</v>
      </c>
      <c r="Q62" s="13">
        <f t="shared" si="25"/>
        <v>0</v>
      </c>
      <c r="R62" s="13">
        <f t="shared" si="25"/>
        <v>0</v>
      </c>
      <c r="S62" s="13">
        <f t="shared" si="25"/>
        <v>0</v>
      </c>
      <c r="T62" s="13">
        <f t="shared" si="25"/>
        <v>0</v>
      </c>
      <c r="U62" s="13">
        <f>SUM(I62:T62)</f>
        <v>0</v>
      </c>
    </row>
    <row r="63" spans="1:21">
      <c r="F63" s="14"/>
      <c r="G63" s="12" t="s">
        <v>91</v>
      </c>
      <c r="H63" s="13">
        <f>SUMIFS($H$3:$H$37,$G$3:$G$37,G63)</f>
        <v>368249.00800000003</v>
      </c>
      <c r="I63" s="13">
        <f t="shared" si="26"/>
        <v>0</v>
      </c>
      <c r="J63" s="13">
        <f t="shared" si="25"/>
        <v>0</v>
      </c>
      <c r="K63" s="13">
        <f t="shared" si="25"/>
        <v>1499.4</v>
      </c>
      <c r="L63" s="13">
        <f t="shared" si="25"/>
        <v>0</v>
      </c>
      <c r="M63" s="13">
        <f t="shared" si="25"/>
        <v>0</v>
      </c>
      <c r="N63" s="13">
        <f t="shared" si="25"/>
        <v>0</v>
      </c>
      <c r="O63" s="13">
        <f t="shared" si="25"/>
        <v>0</v>
      </c>
      <c r="P63" s="13">
        <f t="shared" si="25"/>
        <v>0</v>
      </c>
      <c r="Q63" s="13">
        <f t="shared" si="25"/>
        <v>0</v>
      </c>
      <c r="R63" s="13">
        <f t="shared" si="25"/>
        <v>0</v>
      </c>
      <c r="S63" s="13">
        <f t="shared" si="25"/>
        <v>0</v>
      </c>
      <c r="T63" s="13">
        <f t="shared" si="25"/>
        <v>0</v>
      </c>
      <c r="U63" s="13">
        <f>SUM(I63:T63)</f>
        <v>1499.4</v>
      </c>
    </row>
    <row r="64" spans="1:21">
      <c r="F64" s="14"/>
      <c r="G64" s="12" t="s">
        <v>93</v>
      </c>
      <c r="H64" s="13">
        <f>SUMIFS($H$3:$H$37,$G$3:$G$37,G64)</f>
        <v>273275</v>
      </c>
      <c r="I64" s="13">
        <f t="shared" si="26"/>
        <v>0</v>
      </c>
      <c r="J64" s="13">
        <f t="shared" si="25"/>
        <v>0</v>
      </c>
      <c r="K64" s="13">
        <f t="shared" si="25"/>
        <v>0</v>
      </c>
      <c r="L64" s="13">
        <f t="shared" si="25"/>
        <v>0</v>
      </c>
      <c r="M64" s="13">
        <f t="shared" si="25"/>
        <v>0</v>
      </c>
      <c r="N64" s="13">
        <f t="shared" si="25"/>
        <v>0</v>
      </c>
      <c r="O64" s="13">
        <f t="shared" si="25"/>
        <v>0</v>
      </c>
      <c r="P64" s="13">
        <f t="shared" si="25"/>
        <v>0</v>
      </c>
      <c r="Q64" s="13">
        <f t="shared" si="25"/>
        <v>0</v>
      </c>
      <c r="R64" s="13">
        <f t="shared" si="25"/>
        <v>0</v>
      </c>
      <c r="S64" s="13">
        <f t="shared" si="25"/>
        <v>0</v>
      </c>
      <c r="T64" s="13">
        <f t="shared" si="25"/>
        <v>0</v>
      </c>
      <c r="U64" s="13">
        <f t="shared" ref="U64" si="27">SUM(I64:T64)</f>
        <v>0</v>
      </c>
    </row>
    <row r="65" spans="6:21">
      <c r="F65" s="14"/>
      <c r="G65" s="12" t="s">
        <v>94</v>
      </c>
      <c r="H65" s="13">
        <f>SUMIFS($H$3:$H$37,$G$3:$G$37,G65)</f>
        <v>300163.67300000001</v>
      </c>
      <c r="I65" s="13">
        <f t="shared" si="26"/>
        <v>0</v>
      </c>
      <c r="J65" s="13">
        <f t="shared" si="25"/>
        <v>0</v>
      </c>
      <c r="K65" s="13">
        <f t="shared" si="25"/>
        <v>51245.008999999998</v>
      </c>
      <c r="L65" s="13">
        <f t="shared" si="25"/>
        <v>183540.242</v>
      </c>
      <c r="M65" s="13">
        <f t="shared" si="25"/>
        <v>157898.44700000001</v>
      </c>
      <c r="N65" s="13">
        <f t="shared" si="25"/>
        <v>10579.486000000001</v>
      </c>
      <c r="O65" s="13">
        <f t="shared" si="25"/>
        <v>0</v>
      </c>
      <c r="P65" s="13">
        <f t="shared" si="25"/>
        <v>0</v>
      </c>
      <c r="Q65" s="13">
        <f t="shared" si="25"/>
        <v>0</v>
      </c>
      <c r="R65" s="13">
        <f t="shared" si="25"/>
        <v>0</v>
      </c>
      <c r="S65" s="13">
        <f t="shared" si="25"/>
        <v>0</v>
      </c>
      <c r="T65" s="13">
        <f t="shared" si="25"/>
        <v>0</v>
      </c>
      <c r="U65" s="13">
        <f>SUM(I65:T65)</f>
        <v>403263.18399999995</v>
      </c>
    </row>
    <row r="66" spans="6:21">
      <c r="F66" s="14"/>
      <c r="G66" s="15" t="s">
        <v>108</v>
      </c>
      <c r="H66" s="16">
        <f>SUBTOTAL(9,H61:H65)</f>
        <v>1409194.6809999999</v>
      </c>
      <c r="I66" s="16">
        <f t="shared" ref="I66:N66" si="28">SUBTOTAL(9,I61:I65)</f>
        <v>0</v>
      </c>
      <c r="J66" s="16">
        <f t="shared" si="28"/>
        <v>44059.415999999997</v>
      </c>
      <c r="K66" s="16">
        <f>SUBTOTAL(9,K61:K65)</f>
        <v>52744.409</v>
      </c>
      <c r="L66" s="16">
        <f t="shared" si="28"/>
        <v>221445.522</v>
      </c>
      <c r="M66" s="16">
        <f t="shared" si="28"/>
        <v>157898.44700000001</v>
      </c>
      <c r="N66" s="16">
        <f t="shared" si="28"/>
        <v>45714.979999999996</v>
      </c>
      <c r="O66" s="16">
        <f t="shared" ref="O66:T66" si="29">SUBTOTAL(9,O61:O65)</f>
        <v>0</v>
      </c>
      <c r="P66" s="16">
        <f t="shared" si="29"/>
        <v>0</v>
      </c>
      <c r="Q66" s="16">
        <f t="shared" si="29"/>
        <v>0</v>
      </c>
      <c r="R66" s="16">
        <f t="shared" si="29"/>
        <v>0</v>
      </c>
      <c r="S66" s="16">
        <f t="shared" si="29"/>
        <v>0</v>
      </c>
      <c r="T66" s="16">
        <f t="shared" si="29"/>
        <v>0</v>
      </c>
      <c r="U66" s="16">
        <f>SUBTOTAL(9,U61:U65)</f>
        <v>521862.77399999998</v>
      </c>
    </row>
    <row r="67" spans="6:21">
      <c r="F67" s="14"/>
      <c r="G67" s="12" t="s">
        <v>97</v>
      </c>
      <c r="H67" s="13">
        <f>SUMIFS($H$3:$H$37,$G$3:$G$37,G67)</f>
        <v>78618</v>
      </c>
      <c r="I67" s="13">
        <f>SUMIFS(I$3:I$51,$G$3:$G$51,$G67)</f>
        <v>0</v>
      </c>
      <c r="J67" s="13">
        <f t="shared" ref="J67:T67" si="30">SUMIFS(J$3:J$51,$G$3:$G$51,$G67)</f>
        <v>0</v>
      </c>
      <c r="K67" s="13">
        <f t="shared" si="30"/>
        <v>0</v>
      </c>
      <c r="L67" s="13">
        <f t="shared" si="30"/>
        <v>16664.401999999998</v>
      </c>
      <c r="M67" s="13">
        <f t="shared" si="30"/>
        <v>135490.31200000001</v>
      </c>
      <c r="N67" s="13">
        <f t="shared" si="30"/>
        <v>163517.08799999999</v>
      </c>
      <c r="O67" s="13">
        <f t="shared" si="30"/>
        <v>0</v>
      </c>
      <c r="P67" s="13">
        <f t="shared" si="30"/>
        <v>0</v>
      </c>
      <c r="Q67" s="13">
        <f t="shared" si="30"/>
        <v>0</v>
      </c>
      <c r="R67" s="13">
        <f t="shared" si="30"/>
        <v>0</v>
      </c>
      <c r="S67" s="13">
        <f t="shared" si="30"/>
        <v>0</v>
      </c>
      <c r="T67" s="13">
        <f t="shared" si="30"/>
        <v>0</v>
      </c>
      <c r="U67" s="13">
        <f>SUM(I67:T67)</f>
        <v>315671.80200000003</v>
      </c>
    </row>
    <row r="68" spans="6:21">
      <c r="F68" s="14"/>
      <c r="G68" s="12" t="s">
        <v>99</v>
      </c>
      <c r="H68" s="13">
        <f>SUMIFS($H$3:$H$37,$G$3:$G$37,G68)</f>
        <v>90823</v>
      </c>
      <c r="I68" s="13">
        <f t="shared" ref="I68:T70" si="31">SUMIFS(I$3:I$51,$G$3:$G$51,$G68)</f>
        <v>0</v>
      </c>
      <c r="J68" s="13">
        <f t="shared" si="31"/>
        <v>0</v>
      </c>
      <c r="K68" s="13">
        <f t="shared" si="31"/>
        <v>0</v>
      </c>
      <c r="L68" s="13">
        <f t="shared" si="31"/>
        <v>0</v>
      </c>
      <c r="M68" s="13">
        <f t="shared" si="31"/>
        <v>0</v>
      </c>
      <c r="N68" s="13">
        <f t="shared" si="31"/>
        <v>0</v>
      </c>
      <c r="O68" s="13">
        <f t="shared" si="31"/>
        <v>0</v>
      </c>
      <c r="P68" s="13">
        <f t="shared" si="31"/>
        <v>0</v>
      </c>
      <c r="Q68" s="13">
        <f t="shared" si="31"/>
        <v>0</v>
      </c>
      <c r="R68" s="13">
        <f t="shared" si="31"/>
        <v>0</v>
      </c>
      <c r="S68" s="13">
        <f t="shared" si="31"/>
        <v>0</v>
      </c>
      <c r="T68" s="13">
        <f t="shared" si="31"/>
        <v>0</v>
      </c>
      <c r="U68" s="13">
        <f>SUM(I68:T68)</f>
        <v>0</v>
      </c>
    </row>
    <row r="69" spans="6:21">
      <c r="F69" s="14"/>
      <c r="G69" s="12" t="s">
        <v>98</v>
      </c>
      <c r="H69" s="13">
        <f>SUMIFS($H$3:$H$37,$G$3:$G$37,G69)</f>
        <v>119471.929</v>
      </c>
      <c r="I69" s="13">
        <f t="shared" si="31"/>
        <v>0</v>
      </c>
      <c r="J69" s="13">
        <f t="shared" si="31"/>
        <v>0</v>
      </c>
      <c r="K69" s="13">
        <f t="shared" si="31"/>
        <v>0</v>
      </c>
      <c r="L69" s="13">
        <f t="shared" si="31"/>
        <v>0</v>
      </c>
      <c r="M69" s="13">
        <f t="shared" si="31"/>
        <v>0</v>
      </c>
      <c r="N69" s="13">
        <f t="shared" si="31"/>
        <v>0</v>
      </c>
      <c r="O69" s="13">
        <f t="shared" si="31"/>
        <v>0</v>
      </c>
      <c r="P69" s="13">
        <f t="shared" si="31"/>
        <v>0</v>
      </c>
      <c r="Q69" s="13">
        <f t="shared" si="31"/>
        <v>0</v>
      </c>
      <c r="R69" s="13">
        <f t="shared" si="31"/>
        <v>0</v>
      </c>
      <c r="S69" s="13">
        <f t="shared" si="31"/>
        <v>0</v>
      </c>
      <c r="T69" s="13">
        <f t="shared" si="31"/>
        <v>0</v>
      </c>
      <c r="U69" s="13">
        <f>SUM(I69:T69)</f>
        <v>0</v>
      </c>
    </row>
    <row r="70" spans="6:21">
      <c r="F70" s="14"/>
      <c r="G70" s="12" t="s">
        <v>100</v>
      </c>
      <c r="H70" s="13">
        <f>SUMIFS($H$3:$H$37,$G$3:$G$37,G70)</f>
        <v>320785.21100000001</v>
      </c>
      <c r="I70" s="13">
        <f t="shared" si="31"/>
        <v>0</v>
      </c>
      <c r="J70" s="13">
        <f t="shared" si="31"/>
        <v>10854.383</v>
      </c>
      <c r="K70" s="13">
        <f t="shared" si="31"/>
        <v>17209.388999999999</v>
      </c>
      <c r="L70" s="13">
        <f t="shared" si="31"/>
        <v>18694.834999999999</v>
      </c>
      <c r="M70" s="13">
        <f t="shared" si="31"/>
        <v>14537.77</v>
      </c>
      <c r="N70" s="13">
        <f t="shared" si="31"/>
        <v>27758.100999999999</v>
      </c>
      <c r="O70" s="13">
        <f t="shared" si="31"/>
        <v>0</v>
      </c>
      <c r="P70" s="13">
        <f t="shared" si="31"/>
        <v>0</v>
      </c>
      <c r="Q70" s="13">
        <f t="shared" si="31"/>
        <v>0</v>
      </c>
      <c r="R70" s="13">
        <f t="shared" si="31"/>
        <v>0</v>
      </c>
      <c r="S70" s="13">
        <f t="shared" si="31"/>
        <v>0</v>
      </c>
      <c r="T70" s="13">
        <f t="shared" si="31"/>
        <v>0</v>
      </c>
      <c r="U70" s="13">
        <f>SUM(I70:T70)</f>
        <v>89054.477999999988</v>
      </c>
    </row>
    <row r="71" spans="6:21">
      <c r="F71" s="14"/>
      <c r="G71" s="15" t="s">
        <v>109</v>
      </c>
      <c r="H71" s="16">
        <f>SUBTOTAL(9,H67:H70)</f>
        <v>609698.14</v>
      </c>
      <c r="I71" s="16">
        <f t="shared" ref="I71:N71" si="32">SUBTOTAL(9,I67:I70)</f>
        <v>0</v>
      </c>
      <c r="J71" s="16">
        <f t="shared" si="32"/>
        <v>10854.383</v>
      </c>
      <c r="K71" s="16">
        <f>SUBTOTAL(9,K67:K70)</f>
        <v>17209.388999999999</v>
      </c>
      <c r="L71" s="16">
        <f t="shared" si="32"/>
        <v>35359.236999999994</v>
      </c>
      <c r="M71" s="16">
        <f t="shared" si="32"/>
        <v>150028.08199999999</v>
      </c>
      <c r="N71" s="16">
        <f t="shared" si="32"/>
        <v>191275.18899999998</v>
      </c>
      <c r="O71" s="16">
        <f t="shared" ref="O71:T71" si="33">SUBTOTAL(9,O67:O70)</f>
        <v>0</v>
      </c>
      <c r="P71" s="16">
        <f t="shared" si="33"/>
        <v>0</v>
      </c>
      <c r="Q71" s="16">
        <f t="shared" si="33"/>
        <v>0</v>
      </c>
      <c r="R71" s="16">
        <f t="shared" si="33"/>
        <v>0</v>
      </c>
      <c r="S71" s="16">
        <f t="shared" si="33"/>
        <v>0</v>
      </c>
      <c r="T71" s="16">
        <f t="shared" si="33"/>
        <v>0</v>
      </c>
      <c r="U71" s="16">
        <f>SUBTOTAL(9,U67:U70)</f>
        <v>404726.28</v>
      </c>
    </row>
    <row r="73" spans="6:21">
      <c r="F73" s="14"/>
      <c r="G73" s="15" t="s">
        <v>836</v>
      </c>
      <c r="H73" s="16">
        <f>H60+H66+H71</f>
        <v>3653445.9950000001</v>
      </c>
      <c r="I73" s="16">
        <f>I60+I66+I71</f>
        <v>0</v>
      </c>
      <c r="J73" s="16">
        <f>J60+J66+J71</f>
        <v>68661.482999999993</v>
      </c>
      <c r="K73" s="16">
        <f t="shared" ref="K73:T73" si="34">K60+K66+K71</f>
        <v>135543.46400000001</v>
      </c>
      <c r="L73" s="16">
        <f>L60+L66+L71</f>
        <v>256804.75899999999</v>
      </c>
      <c r="M73" s="16">
        <f>M60+M66+M71</f>
        <v>307926.52899999998</v>
      </c>
      <c r="N73" s="16">
        <f t="shared" si="34"/>
        <v>361836.48399999994</v>
      </c>
      <c r="O73" s="16">
        <f t="shared" si="34"/>
        <v>0</v>
      </c>
      <c r="P73" s="16">
        <f t="shared" si="34"/>
        <v>0</v>
      </c>
      <c r="Q73" s="16">
        <f t="shared" si="34"/>
        <v>0</v>
      </c>
      <c r="R73" s="16">
        <f t="shared" si="34"/>
        <v>0</v>
      </c>
      <c r="S73" s="16">
        <f t="shared" si="34"/>
        <v>0</v>
      </c>
      <c r="T73" s="16">
        <f t="shared" si="34"/>
        <v>0</v>
      </c>
      <c r="U73" s="16">
        <f>U60+U66+U71</f>
        <v>1130772.719</v>
      </c>
    </row>
  </sheetData>
  <sheetProtection algorithmName="SHA-512" hashValue="Deck7IM/F7oO8iUJ3sYDZ0sBpJ0rFzNaNMJkIwa3ufi0GLsyLbPQPkhe/yEjk5kUeiEOYUYlmTVqdv+qqvndoQ==" saltValue="IYXO5ZHBsc+eqImosvThaQ==" spinCount="100000" sheet="1" objects="1" scenarios="1"/>
  <autoFilter ref="A2:U51" xr:uid="{00000000-0001-0000-0200-000000000000}">
    <filterColumn colId="20">
      <filters>
        <filter val="1.499"/>
        <filter val="1.713"/>
        <filter val="10.579"/>
        <filter val="101.472"/>
        <filter val="11.567"/>
        <filter val="13.661"/>
        <filter val="13.748"/>
        <filter val="146.830"/>
        <filter val="173.961"/>
        <filter val="18.079"/>
        <filter val="31.087"/>
        <filter val="33.404"/>
        <filter val="4.856"/>
        <filter val="4.880"/>
        <filter val="41.701"/>
        <filter val="44.059"/>
        <filter val="45.461"/>
        <filter val="48.741"/>
        <filter val="71.893"/>
        <filter val="73.041"/>
        <filter val="75.394"/>
        <filter val="77.673"/>
        <filter val="85.474"/>
      </filters>
    </filterColumn>
  </autoFilter>
  <phoneticPr fontId="25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AF57-8760-4D77-BED3-C8086F1E1416}">
  <dimension ref="A2:C135"/>
  <sheetViews>
    <sheetView workbookViewId="0">
      <selection activeCell="F22" sqref="F22"/>
    </sheetView>
  </sheetViews>
  <sheetFormatPr baseColWidth="10" defaultColWidth="11.42578125" defaultRowHeight="15"/>
  <cols>
    <col min="1" max="1" width="11.42578125" style="173"/>
    <col min="2" max="2" width="55.5703125" style="173" customWidth="1"/>
    <col min="3" max="16384" width="11.42578125" style="173"/>
  </cols>
  <sheetData>
    <row r="2" spans="1:3">
      <c r="C2" s="174">
        <f>SUM(C3:C135)</f>
        <v>27331350</v>
      </c>
    </row>
    <row r="3" spans="1:3">
      <c r="A3" s="169">
        <v>20169586</v>
      </c>
      <c r="B3" s="167" t="s">
        <v>178</v>
      </c>
      <c r="C3" s="175">
        <v>1399434</v>
      </c>
    </row>
    <row r="4" spans="1:3" ht="25.5">
      <c r="A4" s="169">
        <v>30073116</v>
      </c>
      <c r="B4" s="167" t="s">
        <v>837</v>
      </c>
      <c r="C4" s="175">
        <v>1</v>
      </c>
    </row>
    <row r="5" spans="1:3">
      <c r="A5" s="169">
        <v>30073178</v>
      </c>
      <c r="B5" s="167" t="s">
        <v>838</v>
      </c>
      <c r="C5" s="175">
        <v>461089</v>
      </c>
    </row>
    <row r="6" spans="1:3" ht="25.5">
      <c r="A6" s="169">
        <v>30106198</v>
      </c>
      <c r="B6" s="167" t="s">
        <v>839</v>
      </c>
      <c r="C6" s="175">
        <v>781507</v>
      </c>
    </row>
    <row r="7" spans="1:3">
      <c r="A7" s="169">
        <v>30078529</v>
      </c>
      <c r="B7" s="167" t="s">
        <v>840</v>
      </c>
      <c r="C7" s="175">
        <v>230398</v>
      </c>
    </row>
    <row r="8" spans="1:3">
      <c r="A8" s="160">
        <v>30081585</v>
      </c>
      <c r="B8" s="167" t="s">
        <v>253</v>
      </c>
      <c r="C8" s="175">
        <v>73695</v>
      </c>
    </row>
    <row r="9" spans="1:3" ht="25.5">
      <c r="A9" s="160">
        <v>30131807</v>
      </c>
      <c r="B9" s="167" t="s">
        <v>841</v>
      </c>
      <c r="C9" s="175">
        <v>0</v>
      </c>
    </row>
    <row r="10" spans="1:3">
      <c r="A10" s="160">
        <v>30130485</v>
      </c>
      <c r="B10" s="176" t="s">
        <v>842</v>
      </c>
      <c r="C10" s="175">
        <v>423159</v>
      </c>
    </row>
    <row r="11" spans="1:3">
      <c r="A11" s="161">
        <v>30086926</v>
      </c>
      <c r="B11" s="167" t="s">
        <v>843</v>
      </c>
      <c r="C11" s="175">
        <v>385755</v>
      </c>
    </row>
    <row r="12" spans="1:3" ht="25.5">
      <c r="A12" s="161">
        <v>30097621</v>
      </c>
      <c r="B12" s="167" t="s">
        <v>844</v>
      </c>
      <c r="C12" s="175">
        <v>15120</v>
      </c>
    </row>
    <row r="13" spans="1:3">
      <c r="A13" s="161">
        <v>30100126</v>
      </c>
      <c r="B13" s="167" t="s">
        <v>845</v>
      </c>
      <c r="C13" s="175">
        <v>86811</v>
      </c>
    </row>
    <row r="14" spans="1:3">
      <c r="A14" s="161">
        <v>30001032</v>
      </c>
      <c r="B14" s="167" t="s">
        <v>846</v>
      </c>
      <c r="C14" s="175">
        <v>109325</v>
      </c>
    </row>
    <row r="15" spans="1:3">
      <c r="A15" s="161">
        <v>30066098</v>
      </c>
      <c r="B15" s="167" t="s">
        <v>847</v>
      </c>
      <c r="C15" s="175">
        <v>144490</v>
      </c>
    </row>
    <row r="16" spans="1:3">
      <c r="A16" s="161">
        <v>30045318</v>
      </c>
      <c r="B16" s="167" t="s">
        <v>848</v>
      </c>
      <c r="C16" s="175">
        <v>132666</v>
      </c>
    </row>
    <row r="17" spans="1:3">
      <c r="A17" s="170">
        <v>30293822</v>
      </c>
      <c r="B17" s="177" t="s">
        <v>849</v>
      </c>
      <c r="C17" s="175">
        <v>7556</v>
      </c>
    </row>
    <row r="18" spans="1:3">
      <c r="A18" s="170">
        <v>30044384</v>
      </c>
      <c r="B18" s="178" t="s">
        <v>850</v>
      </c>
      <c r="C18" s="175">
        <v>107305</v>
      </c>
    </row>
    <row r="19" spans="1:3">
      <c r="A19" s="161">
        <v>30076274</v>
      </c>
      <c r="B19" s="167" t="s">
        <v>851</v>
      </c>
      <c r="C19" s="175">
        <v>228421</v>
      </c>
    </row>
    <row r="20" spans="1:3">
      <c r="A20" s="161">
        <v>30077750</v>
      </c>
      <c r="B20" s="167" t="s">
        <v>852</v>
      </c>
      <c r="C20" s="175">
        <v>23776</v>
      </c>
    </row>
    <row r="21" spans="1:3" ht="26.25">
      <c r="A21" s="161">
        <v>30465392</v>
      </c>
      <c r="B21" s="163" t="s">
        <v>853</v>
      </c>
      <c r="C21" s="175">
        <v>0</v>
      </c>
    </row>
    <row r="22" spans="1:3">
      <c r="A22" s="161">
        <v>30109140</v>
      </c>
      <c r="B22" s="167" t="s">
        <v>143</v>
      </c>
      <c r="C22" s="175">
        <v>392218</v>
      </c>
    </row>
    <row r="23" spans="1:3" ht="26.25">
      <c r="A23" s="162">
        <v>30481995</v>
      </c>
      <c r="B23" s="163" t="s">
        <v>854</v>
      </c>
      <c r="C23" s="175">
        <v>19090</v>
      </c>
    </row>
    <row r="24" spans="1:3" ht="26.25">
      <c r="A24" s="162">
        <v>30131804</v>
      </c>
      <c r="B24" s="163" t="s">
        <v>196</v>
      </c>
      <c r="C24" s="175">
        <v>377269</v>
      </c>
    </row>
    <row r="25" spans="1:3" ht="26.25">
      <c r="A25" s="162">
        <v>30108069</v>
      </c>
      <c r="B25" s="163" t="s">
        <v>349</v>
      </c>
      <c r="C25" s="175">
        <v>470789</v>
      </c>
    </row>
    <row r="26" spans="1:3">
      <c r="A26" s="162">
        <v>30100263</v>
      </c>
      <c r="B26" s="163" t="s">
        <v>855</v>
      </c>
      <c r="C26" s="175">
        <v>33000</v>
      </c>
    </row>
    <row r="27" spans="1:3" ht="26.25">
      <c r="A27" s="162">
        <v>30109787</v>
      </c>
      <c r="B27" s="163" t="s">
        <v>856</v>
      </c>
      <c r="C27" s="175">
        <v>40912</v>
      </c>
    </row>
    <row r="28" spans="1:3">
      <c r="A28" s="162">
        <v>30086690</v>
      </c>
      <c r="B28" s="163" t="s">
        <v>857</v>
      </c>
      <c r="C28" s="175">
        <v>904034</v>
      </c>
    </row>
    <row r="29" spans="1:3">
      <c r="A29" s="162">
        <v>30486418</v>
      </c>
      <c r="B29" s="163" t="s">
        <v>858</v>
      </c>
      <c r="C29" s="175">
        <v>109125</v>
      </c>
    </row>
    <row r="30" spans="1:3">
      <c r="A30" s="162">
        <v>30064663</v>
      </c>
      <c r="B30" s="163" t="s">
        <v>859</v>
      </c>
      <c r="C30" s="175">
        <v>0</v>
      </c>
    </row>
    <row r="31" spans="1:3">
      <c r="A31" s="162">
        <v>30447522</v>
      </c>
      <c r="B31" s="179" t="s">
        <v>860</v>
      </c>
      <c r="C31" s="175">
        <v>879800</v>
      </c>
    </row>
    <row r="32" spans="1:3">
      <c r="A32" s="162">
        <v>30100599</v>
      </c>
      <c r="B32" s="163" t="s">
        <v>861</v>
      </c>
      <c r="C32" s="175">
        <v>102301</v>
      </c>
    </row>
    <row r="33" spans="1:3" ht="26.25">
      <c r="A33" s="162">
        <v>30483251</v>
      </c>
      <c r="B33" s="163" t="s">
        <v>862</v>
      </c>
      <c r="C33" s="175">
        <v>27179</v>
      </c>
    </row>
    <row r="34" spans="1:3">
      <c r="A34" s="162">
        <v>30124186</v>
      </c>
      <c r="B34" s="179" t="s">
        <v>863</v>
      </c>
      <c r="C34" s="175">
        <v>118067</v>
      </c>
    </row>
    <row r="35" spans="1:3">
      <c r="A35" s="162">
        <v>30484216</v>
      </c>
      <c r="B35" s="163" t="s">
        <v>864</v>
      </c>
      <c r="C35" s="175">
        <v>343304</v>
      </c>
    </row>
    <row r="36" spans="1:3">
      <c r="A36" s="162">
        <v>30124513</v>
      </c>
      <c r="B36" s="180" t="s">
        <v>865</v>
      </c>
      <c r="C36" s="175">
        <v>284619</v>
      </c>
    </row>
    <row r="37" spans="1:3" ht="26.25">
      <c r="A37" s="162">
        <v>40000508</v>
      </c>
      <c r="B37" s="163" t="s">
        <v>212</v>
      </c>
      <c r="C37" s="175">
        <v>45000</v>
      </c>
    </row>
    <row r="38" spans="1:3" ht="26.25">
      <c r="A38" s="162">
        <v>40005349</v>
      </c>
      <c r="B38" s="163" t="s">
        <v>866</v>
      </c>
      <c r="C38" s="175">
        <v>0</v>
      </c>
    </row>
    <row r="39" spans="1:3" ht="26.25">
      <c r="A39" s="162">
        <v>40000697</v>
      </c>
      <c r="B39" s="163" t="s">
        <v>867</v>
      </c>
      <c r="C39" s="175">
        <v>11000</v>
      </c>
    </row>
    <row r="40" spans="1:3" ht="26.25">
      <c r="A40" s="162">
        <v>30393924</v>
      </c>
      <c r="B40" s="179" t="s">
        <v>229</v>
      </c>
      <c r="C40" s="175">
        <v>293558</v>
      </c>
    </row>
    <row r="41" spans="1:3" ht="26.25">
      <c r="A41" s="162">
        <v>30431172</v>
      </c>
      <c r="B41" s="163" t="s">
        <v>868</v>
      </c>
      <c r="C41" s="175">
        <v>22440</v>
      </c>
    </row>
    <row r="42" spans="1:3">
      <c r="A42" s="162">
        <v>30109834</v>
      </c>
      <c r="B42" s="179" t="s">
        <v>237</v>
      </c>
      <c r="C42" s="175">
        <v>668415</v>
      </c>
    </row>
    <row r="43" spans="1:3" ht="26.25">
      <c r="A43" s="162">
        <v>30484211</v>
      </c>
      <c r="B43" s="163" t="s">
        <v>233</v>
      </c>
      <c r="C43" s="175">
        <v>220000</v>
      </c>
    </row>
    <row r="44" spans="1:3">
      <c r="A44" s="164">
        <v>30150673</v>
      </c>
      <c r="B44" s="168" t="s">
        <v>869</v>
      </c>
      <c r="C44" s="175">
        <v>173461</v>
      </c>
    </row>
    <row r="45" spans="1:3">
      <c r="A45" s="170">
        <v>30085388</v>
      </c>
      <c r="B45" s="181" t="s">
        <v>870</v>
      </c>
      <c r="C45" s="175">
        <v>331249</v>
      </c>
    </row>
    <row r="46" spans="1:3" ht="25.5">
      <c r="A46" s="170">
        <v>30109832</v>
      </c>
      <c r="B46" s="168" t="s">
        <v>871</v>
      </c>
      <c r="C46" s="175">
        <v>133844</v>
      </c>
    </row>
    <row r="47" spans="1:3" ht="25.5">
      <c r="A47" s="170">
        <v>30477535</v>
      </c>
      <c r="B47" s="181" t="s">
        <v>872</v>
      </c>
      <c r="C47" s="175">
        <v>50173</v>
      </c>
    </row>
    <row r="48" spans="1:3">
      <c r="A48" s="170">
        <v>30484182</v>
      </c>
      <c r="B48" s="168" t="s">
        <v>155</v>
      </c>
      <c r="C48" s="175">
        <v>40049</v>
      </c>
    </row>
    <row r="49" spans="1:3" ht="26.25">
      <c r="A49" s="162">
        <v>30485976</v>
      </c>
      <c r="B49" s="163" t="s">
        <v>873</v>
      </c>
      <c r="C49" s="175">
        <v>167005</v>
      </c>
    </row>
    <row r="50" spans="1:3">
      <c r="A50" s="162">
        <v>40003818</v>
      </c>
      <c r="B50" s="163" t="s">
        <v>874</v>
      </c>
      <c r="C50" s="175">
        <v>29725</v>
      </c>
    </row>
    <row r="51" spans="1:3">
      <c r="A51" s="162">
        <v>30037147</v>
      </c>
      <c r="B51" s="163" t="s">
        <v>875</v>
      </c>
      <c r="C51" s="175">
        <v>0</v>
      </c>
    </row>
    <row r="52" spans="1:3">
      <c r="A52" s="162">
        <v>40003225</v>
      </c>
      <c r="B52" s="163" t="s">
        <v>876</v>
      </c>
      <c r="C52" s="175">
        <v>8000</v>
      </c>
    </row>
    <row r="53" spans="1:3">
      <c r="A53" s="162">
        <v>30134340</v>
      </c>
      <c r="B53" s="163" t="s">
        <v>877</v>
      </c>
      <c r="C53" s="175">
        <v>47296</v>
      </c>
    </row>
    <row r="54" spans="1:3" ht="26.25">
      <c r="A54" s="162">
        <v>30457897</v>
      </c>
      <c r="B54" s="163" t="s">
        <v>878</v>
      </c>
      <c r="C54" s="175">
        <v>133952</v>
      </c>
    </row>
    <row r="55" spans="1:3">
      <c r="A55" s="162">
        <v>30150676</v>
      </c>
      <c r="B55" s="179" t="s">
        <v>879</v>
      </c>
      <c r="C55" s="175">
        <v>1500</v>
      </c>
    </row>
    <row r="56" spans="1:3">
      <c r="A56" s="162">
        <v>30473496</v>
      </c>
      <c r="B56" s="163" t="s">
        <v>880</v>
      </c>
      <c r="C56" s="175">
        <v>15000</v>
      </c>
    </row>
    <row r="57" spans="1:3" ht="26.25">
      <c r="A57" s="162">
        <v>30123628</v>
      </c>
      <c r="B57" s="163" t="s">
        <v>881</v>
      </c>
      <c r="C57" s="175">
        <v>104217</v>
      </c>
    </row>
    <row r="58" spans="1:3" ht="26.25">
      <c r="A58" s="162">
        <v>30124440</v>
      </c>
      <c r="B58" s="163" t="s">
        <v>882</v>
      </c>
      <c r="C58" s="175">
        <v>60640</v>
      </c>
    </row>
    <row r="59" spans="1:3">
      <c r="A59" s="162">
        <v>30147622</v>
      </c>
      <c r="B59" s="179" t="s">
        <v>883</v>
      </c>
      <c r="C59" s="175">
        <v>47000</v>
      </c>
    </row>
    <row r="60" spans="1:3">
      <c r="A60" s="162">
        <v>30460171</v>
      </c>
      <c r="B60" s="163" t="s">
        <v>244</v>
      </c>
      <c r="C60" s="175">
        <v>344917</v>
      </c>
    </row>
    <row r="61" spans="1:3" ht="26.25">
      <c r="A61" s="162">
        <v>40006352</v>
      </c>
      <c r="B61" s="163" t="s">
        <v>884</v>
      </c>
      <c r="C61" s="175">
        <v>91102</v>
      </c>
    </row>
    <row r="62" spans="1:3">
      <c r="A62" s="162">
        <v>30149176</v>
      </c>
      <c r="B62" s="163" t="s">
        <v>251</v>
      </c>
      <c r="C62" s="175">
        <v>1320490</v>
      </c>
    </row>
    <row r="63" spans="1:3" ht="26.25">
      <c r="A63" s="162">
        <v>40003078</v>
      </c>
      <c r="B63" s="163" t="s">
        <v>885</v>
      </c>
      <c r="C63" s="175">
        <v>28000</v>
      </c>
    </row>
    <row r="64" spans="1:3">
      <c r="A64" s="162">
        <v>30483947</v>
      </c>
      <c r="B64" s="163" t="s">
        <v>886</v>
      </c>
      <c r="C64" s="175">
        <v>0</v>
      </c>
    </row>
    <row r="65" spans="1:3" ht="25.5">
      <c r="A65" s="171">
        <v>30139872</v>
      </c>
      <c r="B65" s="182" t="s">
        <v>887</v>
      </c>
      <c r="C65" s="175">
        <v>1450</v>
      </c>
    </row>
    <row r="66" spans="1:3" ht="25.5">
      <c r="A66" s="171">
        <v>30139823</v>
      </c>
      <c r="B66" s="182" t="s">
        <v>888</v>
      </c>
      <c r="C66" s="175">
        <v>1500</v>
      </c>
    </row>
    <row r="67" spans="1:3" ht="25.5">
      <c r="A67" s="171">
        <v>30275183</v>
      </c>
      <c r="B67" s="182" t="s">
        <v>197</v>
      </c>
      <c r="C67" s="175">
        <v>10493</v>
      </c>
    </row>
    <row r="68" spans="1:3">
      <c r="A68" s="171">
        <v>30479844</v>
      </c>
      <c r="B68" s="182" t="s">
        <v>889</v>
      </c>
      <c r="C68" s="175">
        <v>1500</v>
      </c>
    </row>
    <row r="69" spans="1:3" ht="26.25">
      <c r="A69" s="162">
        <v>30484185</v>
      </c>
      <c r="B69" s="163" t="s">
        <v>890</v>
      </c>
      <c r="C69" s="175">
        <v>12976</v>
      </c>
    </row>
    <row r="70" spans="1:3" ht="26.25">
      <c r="A70" s="165">
        <v>30484187</v>
      </c>
      <c r="B70" s="163" t="s">
        <v>891</v>
      </c>
      <c r="C70" s="175">
        <v>9594</v>
      </c>
    </row>
    <row r="71" spans="1:3" ht="26.25">
      <c r="A71" s="162">
        <v>30484184</v>
      </c>
      <c r="B71" s="163" t="s">
        <v>892</v>
      </c>
      <c r="C71" s="175">
        <v>8914</v>
      </c>
    </row>
    <row r="72" spans="1:3" ht="26.25">
      <c r="A72" s="162">
        <v>30484157</v>
      </c>
      <c r="B72" s="163" t="s">
        <v>893</v>
      </c>
      <c r="C72" s="175">
        <v>0</v>
      </c>
    </row>
    <row r="73" spans="1:3" ht="26.25">
      <c r="A73" s="162">
        <v>30409422</v>
      </c>
      <c r="B73" s="163" t="s">
        <v>894</v>
      </c>
      <c r="C73" s="175">
        <v>0</v>
      </c>
    </row>
    <row r="74" spans="1:3" ht="26.25">
      <c r="A74" s="162">
        <v>40003156</v>
      </c>
      <c r="B74" s="163" t="s">
        <v>895</v>
      </c>
      <c r="C74" s="175">
        <v>68276</v>
      </c>
    </row>
    <row r="75" spans="1:3">
      <c r="A75" s="162">
        <v>40010119</v>
      </c>
      <c r="B75" s="163" t="s">
        <v>896</v>
      </c>
      <c r="C75" s="175">
        <v>0</v>
      </c>
    </row>
    <row r="76" spans="1:3">
      <c r="A76" s="162">
        <v>30369072</v>
      </c>
      <c r="B76" s="163" t="s">
        <v>608</v>
      </c>
      <c r="C76" s="175">
        <v>15650</v>
      </c>
    </row>
    <row r="77" spans="1:3">
      <c r="A77" s="162">
        <v>30176022</v>
      </c>
      <c r="B77" s="163" t="s">
        <v>249</v>
      </c>
      <c r="C77" s="175">
        <v>280048</v>
      </c>
    </row>
    <row r="78" spans="1:3">
      <c r="A78" s="162">
        <v>40011860</v>
      </c>
      <c r="B78" s="163" t="s">
        <v>897</v>
      </c>
      <c r="C78" s="175">
        <v>400847</v>
      </c>
    </row>
    <row r="79" spans="1:3" ht="26.25">
      <c r="A79" s="162">
        <v>40013536</v>
      </c>
      <c r="B79" s="163" t="s">
        <v>174</v>
      </c>
      <c r="C79" s="175">
        <v>510000</v>
      </c>
    </row>
    <row r="80" spans="1:3" ht="26.25">
      <c r="A80" s="162">
        <v>30070093</v>
      </c>
      <c r="B80" s="183" t="s">
        <v>898</v>
      </c>
      <c r="C80" s="175">
        <v>393874</v>
      </c>
    </row>
    <row r="81" spans="1:3">
      <c r="A81" s="162">
        <v>40016415</v>
      </c>
      <c r="B81" s="183" t="s">
        <v>246</v>
      </c>
      <c r="C81" s="175">
        <v>416681</v>
      </c>
    </row>
    <row r="82" spans="1:3" ht="26.25">
      <c r="A82" s="162">
        <v>40015360</v>
      </c>
      <c r="B82" s="183" t="s">
        <v>899</v>
      </c>
      <c r="C82" s="175">
        <v>344550</v>
      </c>
    </row>
    <row r="83" spans="1:3">
      <c r="A83" s="162">
        <v>30484167</v>
      </c>
      <c r="B83" s="183" t="s">
        <v>900</v>
      </c>
      <c r="C83" s="175">
        <v>275961</v>
      </c>
    </row>
    <row r="84" spans="1:3" ht="26.25">
      <c r="A84" s="162">
        <v>40012802</v>
      </c>
      <c r="B84" s="183" t="s">
        <v>160</v>
      </c>
      <c r="C84" s="175">
        <v>840000</v>
      </c>
    </row>
    <row r="85" spans="1:3" ht="26.25">
      <c r="A85" s="162">
        <v>40014111</v>
      </c>
      <c r="B85" s="183" t="s">
        <v>609</v>
      </c>
      <c r="C85" s="175">
        <v>24335</v>
      </c>
    </row>
    <row r="86" spans="1:3" ht="26.25">
      <c r="A86" s="162">
        <v>40009212</v>
      </c>
      <c r="B86" s="183" t="s">
        <v>901</v>
      </c>
      <c r="C86" s="175">
        <v>2142781</v>
      </c>
    </row>
    <row r="87" spans="1:3" ht="26.25">
      <c r="A87" s="162">
        <v>40016397</v>
      </c>
      <c r="B87" s="183" t="s">
        <v>351</v>
      </c>
      <c r="C87" s="175">
        <v>49980</v>
      </c>
    </row>
    <row r="88" spans="1:3" ht="26.25">
      <c r="A88" s="162">
        <v>40016396</v>
      </c>
      <c r="B88" s="183" t="s">
        <v>902</v>
      </c>
      <c r="C88" s="175">
        <v>63000</v>
      </c>
    </row>
    <row r="89" spans="1:3">
      <c r="A89" s="162">
        <v>40018067</v>
      </c>
      <c r="B89" s="183" t="s">
        <v>903</v>
      </c>
      <c r="C89" s="175">
        <v>428</v>
      </c>
    </row>
    <row r="90" spans="1:3">
      <c r="A90" s="171">
        <v>20169732</v>
      </c>
      <c r="B90" s="182" t="s">
        <v>904</v>
      </c>
      <c r="C90" s="175">
        <v>115570</v>
      </c>
    </row>
    <row r="91" spans="1:3">
      <c r="A91" s="162">
        <v>30010979</v>
      </c>
      <c r="B91" s="163" t="s">
        <v>905</v>
      </c>
      <c r="C91" s="175">
        <v>1</v>
      </c>
    </row>
    <row r="92" spans="1:3" ht="26.25">
      <c r="A92" s="172">
        <v>30100596</v>
      </c>
      <c r="B92" s="184" t="s">
        <v>906</v>
      </c>
      <c r="C92" s="175">
        <v>1</v>
      </c>
    </row>
    <row r="93" spans="1:3">
      <c r="A93" s="166">
        <v>300646630</v>
      </c>
      <c r="B93" s="185" t="s">
        <v>907</v>
      </c>
      <c r="C93" s="175">
        <v>478469</v>
      </c>
    </row>
    <row r="94" spans="1:3">
      <c r="A94" s="161">
        <v>30091815</v>
      </c>
      <c r="B94" s="163" t="s">
        <v>908</v>
      </c>
      <c r="C94" s="175">
        <v>132000</v>
      </c>
    </row>
    <row r="95" spans="1:3">
      <c r="A95" s="162">
        <v>30432172</v>
      </c>
      <c r="B95" s="163" t="s">
        <v>909</v>
      </c>
      <c r="C95" s="175">
        <v>0</v>
      </c>
    </row>
    <row r="96" spans="1:3">
      <c r="A96" s="161">
        <v>40012771</v>
      </c>
      <c r="B96" s="163" t="s">
        <v>910</v>
      </c>
      <c r="C96" s="175">
        <v>0</v>
      </c>
    </row>
    <row r="97" spans="1:3">
      <c r="A97" s="161">
        <v>40009552</v>
      </c>
      <c r="B97" s="163" t="s">
        <v>911</v>
      </c>
      <c r="C97" s="175">
        <v>397260</v>
      </c>
    </row>
    <row r="98" spans="1:3" ht="26.25">
      <c r="A98" s="161">
        <v>40012018</v>
      </c>
      <c r="B98" s="163" t="s">
        <v>912</v>
      </c>
      <c r="C98" s="175">
        <v>250000</v>
      </c>
    </row>
    <row r="99" spans="1:3" ht="26.25">
      <c r="A99" s="161">
        <v>30484186</v>
      </c>
      <c r="B99" s="163" t="s">
        <v>913</v>
      </c>
      <c r="C99" s="175">
        <v>21000</v>
      </c>
    </row>
    <row r="100" spans="1:3">
      <c r="A100" s="162">
        <v>40013598</v>
      </c>
      <c r="B100" s="183" t="s">
        <v>914</v>
      </c>
      <c r="C100" s="175">
        <v>273478</v>
      </c>
    </row>
    <row r="101" spans="1:3">
      <c r="A101" s="161">
        <v>40009344</v>
      </c>
      <c r="B101" s="167" t="s">
        <v>915</v>
      </c>
      <c r="C101" s="175">
        <v>436646</v>
      </c>
    </row>
    <row r="102" spans="1:3">
      <c r="A102" s="161">
        <v>40013615</v>
      </c>
      <c r="B102" s="167" t="s">
        <v>916</v>
      </c>
      <c r="C102" s="175">
        <v>0</v>
      </c>
    </row>
    <row r="103" spans="1:3">
      <c r="A103" s="161">
        <v>40006217</v>
      </c>
      <c r="B103" s="167" t="s">
        <v>149</v>
      </c>
      <c r="C103" s="175">
        <v>174792</v>
      </c>
    </row>
    <row r="104" spans="1:3" ht="26.25">
      <c r="A104" s="162">
        <v>30439686</v>
      </c>
      <c r="B104" s="163" t="s">
        <v>917</v>
      </c>
      <c r="C104" s="175">
        <v>390000</v>
      </c>
    </row>
    <row r="105" spans="1:3" ht="25.5">
      <c r="A105" s="169">
        <v>30064704</v>
      </c>
      <c r="B105" s="176" t="s">
        <v>918</v>
      </c>
      <c r="C105" s="175">
        <v>65238</v>
      </c>
    </row>
    <row r="106" spans="1:3">
      <c r="A106" s="162">
        <v>40008745</v>
      </c>
      <c r="B106" s="183" t="s">
        <v>919</v>
      </c>
      <c r="C106" s="175">
        <v>0</v>
      </c>
    </row>
    <row r="107" spans="1:3">
      <c r="A107" s="162">
        <v>30093561</v>
      </c>
      <c r="B107" s="163" t="s">
        <v>920</v>
      </c>
      <c r="C107" s="175">
        <v>832000</v>
      </c>
    </row>
    <row r="108" spans="1:3">
      <c r="A108" s="162">
        <v>30007043</v>
      </c>
      <c r="B108" s="183" t="s">
        <v>921</v>
      </c>
      <c r="C108" s="175">
        <v>171000</v>
      </c>
    </row>
    <row r="109" spans="1:3" ht="26.25">
      <c r="A109" s="162">
        <v>40004196</v>
      </c>
      <c r="B109" s="163" t="s">
        <v>922</v>
      </c>
      <c r="C109" s="175">
        <v>310565</v>
      </c>
    </row>
    <row r="110" spans="1:3" ht="26.25">
      <c r="A110" s="162">
        <v>40004434</v>
      </c>
      <c r="B110" s="163" t="s">
        <v>923</v>
      </c>
      <c r="C110" s="175">
        <v>506371</v>
      </c>
    </row>
    <row r="111" spans="1:3">
      <c r="A111" s="162">
        <v>40009584</v>
      </c>
      <c r="B111" s="186" t="s">
        <v>924</v>
      </c>
      <c r="C111" s="175">
        <v>296149</v>
      </c>
    </row>
    <row r="112" spans="1:3">
      <c r="A112" s="161">
        <v>30140173</v>
      </c>
      <c r="B112" s="187" t="s">
        <v>925</v>
      </c>
      <c r="C112" s="175">
        <v>746598</v>
      </c>
    </row>
    <row r="113" spans="1:3">
      <c r="A113" s="161">
        <v>30001033</v>
      </c>
      <c r="B113" s="187" t="s">
        <v>926</v>
      </c>
      <c r="C113" s="175">
        <v>54696</v>
      </c>
    </row>
    <row r="114" spans="1:3">
      <c r="A114" s="161">
        <v>30072951</v>
      </c>
      <c r="B114" s="187" t="s">
        <v>927</v>
      </c>
      <c r="C114" s="175">
        <v>109011</v>
      </c>
    </row>
    <row r="115" spans="1:3">
      <c r="A115" s="162">
        <v>30082130</v>
      </c>
      <c r="B115" s="183" t="s">
        <v>928</v>
      </c>
      <c r="C115" s="175">
        <v>132000</v>
      </c>
    </row>
    <row r="116" spans="1:3">
      <c r="A116" s="162">
        <v>40012009</v>
      </c>
      <c r="B116" s="183" t="s">
        <v>929</v>
      </c>
      <c r="C116" s="175">
        <v>0</v>
      </c>
    </row>
    <row r="117" spans="1:3" ht="26.25">
      <c r="A117" s="162">
        <v>40009572</v>
      </c>
      <c r="B117" s="183" t="s">
        <v>930</v>
      </c>
      <c r="C117" s="175">
        <v>12811</v>
      </c>
    </row>
    <row r="118" spans="1:3" ht="22.5">
      <c r="A118" s="162">
        <v>40011210</v>
      </c>
      <c r="B118" s="188" t="s">
        <v>931</v>
      </c>
      <c r="C118" s="175">
        <v>0</v>
      </c>
    </row>
    <row r="119" spans="1:3" ht="22.5">
      <c r="A119" s="172">
        <v>30123699</v>
      </c>
      <c r="B119" s="189" t="s">
        <v>932</v>
      </c>
      <c r="C119" s="175">
        <v>22951</v>
      </c>
    </row>
    <row r="120" spans="1:3" ht="22.5">
      <c r="A120" s="162">
        <v>30084699</v>
      </c>
      <c r="B120" s="190" t="s">
        <v>933</v>
      </c>
      <c r="C120" s="175">
        <v>611242</v>
      </c>
    </row>
    <row r="121" spans="1:3">
      <c r="A121" s="162">
        <v>40016874</v>
      </c>
      <c r="B121" s="188" t="s">
        <v>225</v>
      </c>
      <c r="C121" s="175">
        <v>0</v>
      </c>
    </row>
    <row r="122" spans="1:3">
      <c r="A122" s="162">
        <v>40017175</v>
      </c>
      <c r="B122" s="188" t="s">
        <v>934</v>
      </c>
      <c r="C122" s="175">
        <v>0</v>
      </c>
    </row>
    <row r="123" spans="1:3" ht="22.5">
      <c r="A123" s="162">
        <v>40006165</v>
      </c>
      <c r="B123" s="188" t="s">
        <v>935</v>
      </c>
      <c r="C123" s="175">
        <v>897463</v>
      </c>
    </row>
    <row r="124" spans="1:3">
      <c r="A124" s="162">
        <v>30176672</v>
      </c>
      <c r="B124" s="188" t="s">
        <v>936</v>
      </c>
      <c r="C124" s="175">
        <v>0</v>
      </c>
    </row>
    <row r="125" spans="1:3" ht="22.5">
      <c r="A125" s="162">
        <v>30480263</v>
      </c>
      <c r="B125" s="188" t="s">
        <v>937</v>
      </c>
      <c r="C125" s="175">
        <v>0</v>
      </c>
    </row>
    <row r="126" spans="1:3" ht="26.25">
      <c r="A126" s="162">
        <v>40016385</v>
      </c>
      <c r="B126" s="183" t="s">
        <v>938</v>
      </c>
      <c r="C126" s="175">
        <v>0</v>
      </c>
    </row>
    <row r="127" spans="1:3">
      <c r="A127" s="162">
        <v>40012014</v>
      </c>
      <c r="B127" s="191" t="s">
        <v>939</v>
      </c>
      <c r="C127" s="175">
        <v>0</v>
      </c>
    </row>
    <row r="128" spans="1:3">
      <c r="A128" s="162">
        <v>30486611</v>
      </c>
      <c r="B128" s="183" t="s">
        <v>940</v>
      </c>
      <c r="C128" s="175">
        <v>0</v>
      </c>
    </row>
    <row r="129" spans="1:3">
      <c r="A129" s="162">
        <v>40006784</v>
      </c>
      <c r="B129" s="183" t="s">
        <v>146</v>
      </c>
      <c r="C129" s="175">
        <v>76190</v>
      </c>
    </row>
    <row r="130" spans="1:3" ht="26.25">
      <c r="A130" s="162">
        <v>30136164</v>
      </c>
      <c r="B130" s="163" t="s">
        <v>941</v>
      </c>
      <c r="C130" s="175">
        <v>0</v>
      </c>
    </row>
    <row r="131" spans="1:3">
      <c r="A131" s="169">
        <v>30065234</v>
      </c>
      <c r="B131" s="167" t="s">
        <v>942</v>
      </c>
      <c r="C131" s="175">
        <v>2000</v>
      </c>
    </row>
    <row r="132" spans="1:3" ht="25.5">
      <c r="A132" s="164">
        <v>30073874</v>
      </c>
      <c r="B132" s="168" t="s">
        <v>943</v>
      </c>
      <c r="C132" s="175">
        <v>842762</v>
      </c>
    </row>
    <row r="133" spans="1:3" ht="33">
      <c r="A133" s="164">
        <v>40009682</v>
      </c>
      <c r="B133" s="189" t="s">
        <v>944</v>
      </c>
      <c r="C133" s="175">
        <v>0</v>
      </c>
    </row>
    <row r="134" spans="1:3" ht="22.5">
      <c r="A134" s="164">
        <v>40000654</v>
      </c>
      <c r="B134" s="189" t="s">
        <v>945</v>
      </c>
      <c r="C134" s="175">
        <v>0</v>
      </c>
    </row>
    <row r="135" spans="1:3" ht="22.5">
      <c r="A135" s="164">
        <v>40016565</v>
      </c>
      <c r="B135" s="189" t="s">
        <v>946</v>
      </c>
      <c r="C135" s="175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8EAB-42B8-4A9A-AF9B-2E0C22478392}">
  <dimension ref="A1:K46"/>
  <sheetViews>
    <sheetView workbookViewId="0">
      <selection activeCell="E41" sqref="E41"/>
    </sheetView>
  </sheetViews>
  <sheetFormatPr baseColWidth="10" defaultColWidth="11.42578125" defaultRowHeight="15"/>
  <cols>
    <col min="5" max="5" width="56.85546875" customWidth="1"/>
  </cols>
  <sheetData>
    <row r="1" spans="1:1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</row>
    <row r="2" spans="1:11" ht="22.5">
      <c r="A2" s="193" t="s">
        <v>947</v>
      </c>
      <c r="B2" s="193"/>
      <c r="C2" s="193"/>
      <c r="D2" s="193" t="s">
        <v>948</v>
      </c>
      <c r="E2" s="193" t="s">
        <v>949</v>
      </c>
      <c r="F2" s="192" t="s">
        <v>79</v>
      </c>
      <c r="G2" s="192" t="s">
        <v>950</v>
      </c>
      <c r="H2" s="193" t="s">
        <v>951</v>
      </c>
      <c r="I2" s="192" t="s">
        <v>952</v>
      </c>
      <c r="J2" s="192" t="s">
        <v>953</v>
      </c>
      <c r="K2" s="192" t="s">
        <v>954</v>
      </c>
    </row>
    <row r="3" spans="1:11" ht="22.5">
      <c r="A3" s="197"/>
      <c r="B3" s="195" t="s">
        <v>25</v>
      </c>
      <c r="C3" s="196" t="s">
        <v>367</v>
      </c>
      <c r="D3" s="194" t="s">
        <v>955</v>
      </c>
      <c r="E3" s="198" t="s">
        <v>956</v>
      </c>
      <c r="F3" s="199" t="s">
        <v>103</v>
      </c>
      <c r="G3" s="199" t="s">
        <v>213</v>
      </c>
      <c r="H3" s="199" t="s">
        <v>370</v>
      </c>
      <c r="I3" s="200" t="s">
        <v>132</v>
      </c>
      <c r="J3" s="201">
        <v>2000000</v>
      </c>
      <c r="K3" s="201">
        <v>2000000</v>
      </c>
    </row>
    <row r="4" spans="1:11" ht="33.75">
      <c r="A4" s="197"/>
      <c r="B4" s="195" t="s">
        <v>27</v>
      </c>
      <c r="C4" s="196" t="s">
        <v>957</v>
      </c>
      <c r="D4" s="194" t="s">
        <v>955</v>
      </c>
      <c r="E4" s="198" t="s">
        <v>958</v>
      </c>
      <c r="F4" s="199" t="s">
        <v>103</v>
      </c>
      <c r="G4" s="199" t="s">
        <v>959</v>
      </c>
      <c r="H4" s="199" t="s">
        <v>960</v>
      </c>
      <c r="I4" s="200" t="s">
        <v>132</v>
      </c>
      <c r="J4" s="201">
        <v>791857.46499999997</v>
      </c>
      <c r="K4" s="201">
        <v>263953</v>
      </c>
    </row>
    <row r="5" spans="1:11" ht="22.5">
      <c r="A5" s="194">
        <v>40021790</v>
      </c>
      <c r="B5" s="195" t="s">
        <v>27</v>
      </c>
      <c r="C5" s="195" t="s">
        <v>646</v>
      </c>
      <c r="D5" s="194" t="s">
        <v>955</v>
      </c>
      <c r="E5" s="198" t="s">
        <v>961</v>
      </c>
      <c r="F5" s="199" t="s">
        <v>962</v>
      </c>
      <c r="G5" s="199" t="s">
        <v>185</v>
      </c>
      <c r="H5" s="199" t="s">
        <v>216</v>
      </c>
      <c r="I5" s="200" t="s">
        <v>963</v>
      </c>
      <c r="J5" s="201">
        <v>2401695</v>
      </c>
      <c r="K5" s="201">
        <v>160254</v>
      </c>
    </row>
    <row r="6" spans="1:11" ht="33.75">
      <c r="A6" s="202">
        <v>30100137</v>
      </c>
      <c r="B6" s="195" t="s">
        <v>27</v>
      </c>
      <c r="C6" s="195" t="s">
        <v>646</v>
      </c>
      <c r="D6" s="194" t="s">
        <v>955</v>
      </c>
      <c r="E6" s="198" t="s">
        <v>964</v>
      </c>
      <c r="F6" s="199" t="s">
        <v>965</v>
      </c>
      <c r="G6" s="203" t="s">
        <v>185</v>
      </c>
      <c r="H6" s="199" t="s">
        <v>236</v>
      </c>
      <c r="I6" s="200" t="s">
        <v>132</v>
      </c>
      <c r="J6" s="201">
        <v>8173158.3330000006</v>
      </c>
      <c r="K6" s="201">
        <v>812774</v>
      </c>
    </row>
    <row r="7" spans="1:11" ht="22.5">
      <c r="A7" s="202">
        <v>30073659</v>
      </c>
      <c r="B7" s="195" t="s">
        <v>27</v>
      </c>
      <c r="C7" s="195" t="s">
        <v>646</v>
      </c>
      <c r="D7" s="194" t="s">
        <v>955</v>
      </c>
      <c r="E7" s="198" t="s">
        <v>966</v>
      </c>
      <c r="F7" s="199" t="s">
        <v>91</v>
      </c>
      <c r="G7" s="203" t="s">
        <v>185</v>
      </c>
      <c r="H7" s="199" t="s">
        <v>138</v>
      </c>
      <c r="I7" s="200" t="s">
        <v>132</v>
      </c>
      <c r="J7" s="201">
        <v>3529211.1189999999</v>
      </c>
      <c r="K7" s="201">
        <v>205452</v>
      </c>
    </row>
    <row r="8" spans="1:11" ht="22.5">
      <c r="A8" s="202">
        <v>30073803</v>
      </c>
      <c r="B8" s="195" t="s">
        <v>27</v>
      </c>
      <c r="C8" s="195" t="s">
        <v>646</v>
      </c>
      <c r="D8" s="194" t="s">
        <v>955</v>
      </c>
      <c r="E8" s="198" t="s">
        <v>967</v>
      </c>
      <c r="F8" s="199" t="s">
        <v>97</v>
      </c>
      <c r="G8" s="203" t="s">
        <v>185</v>
      </c>
      <c r="H8" s="199" t="s">
        <v>180</v>
      </c>
      <c r="I8" s="200" t="s">
        <v>132</v>
      </c>
      <c r="J8" s="201">
        <v>2869930.42</v>
      </c>
      <c r="K8" s="201">
        <v>276414</v>
      </c>
    </row>
    <row r="9" spans="1:11" ht="33.75">
      <c r="A9" s="202">
        <v>30079953</v>
      </c>
      <c r="B9" s="195" t="s">
        <v>27</v>
      </c>
      <c r="C9" s="195" t="s">
        <v>646</v>
      </c>
      <c r="D9" s="194" t="s">
        <v>955</v>
      </c>
      <c r="E9" s="198" t="s">
        <v>968</v>
      </c>
      <c r="F9" s="199" t="s">
        <v>100</v>
      </c>
      <c r="G9" s="203" t="s">
        <v>185</v>
      </c>
      <c r="H9" s="199" t="s">
        <v>199</v>
      </c>
      <c r="I9" s="200" t="s">
        <v>132</v>
      </c>
      <c r="J9" s="201">
        <v>2503939</v>
      </c>
      <c r="K9" s="201">
        <v>56731</v>
      </c>
    </row>
    <row r="10" spans="1:11" ht="22.5">
      <c r="A10" s="202">
        <v>30124512</v>
      </c>
      <c r="B10" s="195" t="s">
        <v>27</v>
      </c>
      <c r="C10" s="195" t="s">
        <v>646</v>
      </c>
      <c r="D10" s="194" t="s">
        <v>955</v>
      </c>
      <c r="E10" s="198" t="s">
        <v>269</v>
      </c>
      <c r="F10" s="199" t="s">
        <v>91</v>
      </c>
      <c r="G10" s="203" t="s">
        <v>185</v>
      </c>
      <c r="H10" s="199" t="s">
        <v>138</v>
      </c>
      <c r="I10" s="200" t="s">
        <v>152</v>
      </c>
      <c r="J10" s="201">
        <v>2029585.5</v>
      </c>
      <c r="K10" s="201">
        <v>566560</v>
      </c>
    </row>
    <row r="11" spans="1:11" ht="33.75">
      <c r="A11" s="202">
        <v>30100128</v>
      </c>
      <c r="B11" s="195" t="s">
        <v>27</v>
      </c>
      <c r="C11" s="195" t="s">
        <v>646</v>
      </c>
      <c r="D11" s="194" t="s">
        <v>955</v>
      </c>
      <c r="E11" s="198" t="s">
        <v>264</v>
      </c>
      <c r="F11" s="199" t="s">
        <v>965</v>
      </c>
      <c r="G11" s="203" t="s">
        <v>185</v>
      </c>
      <c r="H11" s="199" t="s">
        <v>236</v>
      </c>
      <c r="I11" s="200" t="s">
        <v>132</v>
      </c>
      <c r="J11" s="201">
        <v>3242241</v>
      </c>
      <c r="K11" s="201">
        <v>800000</v>
      </c>
    </row>
    <row r="12" spans="1:11" ht="22.5">
      <c r="A12" s="202">
        <v>30078379</v>
      </c>
      <c r="B12" s="195" t="s">
        <v>27</v>
      </c>
      <c r="C12" s="195" t="s">
        <v>646</v>
      </c>
      <c r="D12" s="194" t="s">
        <v>955</v>
      </c>
      <c r="E12" s="198" t="s">
        <v>969</v>
      </c>
      <c r="F12" s="199" t="s">
        <v>86</v>
      </c>
      <c r="G12" s="203" t="s">
        <v>185</v>
      </c>
      <c r="H12" s="199" t="s">
        <v>195</v>
      </c>
      <c r="I12" s="200" t="s">
        <v>171</v>
      </c>
      <c r="J12" s="201">
        <v>4892297</v>
      </c>
      <c r="K12" s="201">
        <v>80000</v>
      </c>
    </row>
    <row r="13" spans="1:11" ht="33.75">
      <c r="A13" s="202">
        <v>30096195</v>
      </c>
      <c r="B13" s="195" t="s">
        <v>27</v>
      </c>
      <c r="C13" s="195" t="s">
        <v>646</v>
      </c>
      <c r="D13" s="194" t="s">
        <v>955</v>
      </c>
      <c r="E13" s="198" t="s">
        <v>970</v>
      </c>
      <c r="F13" s="199" t="s">
        <v>84</v>
      </c>
      <c r="G13" s="203" t="s">
        <v>185</v>
      </c>
      <c r="H13" s="199" t="s">
        <v>157</v>
      </c>
      <c r="I13" s="200" t="s">
        <v>171</v>
      </c>
      <c r="J13" s="201">
        <v>2358659</v>
      </c>
      <c r="K13" s="201">
        <v>152677</v>
      </c>
    </row>
    <row r="14" spans="1:11" ht="22.5">
      <c r="A14" s="202">
        <v>30124552</v>
      </c>
      <c r="B14" s="195" t="s">
        <v>27</v>
      </c>
      <c r="C14" s="195" t="s">
        <v>646</v>
      </c>
      <c r="D14" s="194" t="s">
        <v>955</v>
      </c>
      <c r="E14" s="198" t="s">
        <v>266</v>
      </c>
      <c r="F14" s="199" t="s">
        <v>91</v>
      </c>
      <c r="G14" s="199" t="s">
        <v>185</v>
      </c>
      <c r="H14" s="199" t="s">
        <v>138</v>
      </c>
      <c r="I14" s="199" t="s">
        <v>132</v>
      </c>
      <c r="J14" s="201">
        <v>1381311.39</v>
      </c>
      <c r="K14" s="201">
        <v>800000</v>
      </c>
    </row>
    <row r="15" spans="1:11" ht="22.5">
      <c r="A15" s="202">
        <v>30100146</v>
      </c>
      <c r="B15" s="195" t="s">
        <v>27</v>
      </c>
      <c r="C15" s="195" t="s">
        <v>646</v>
      </c>
      <c r="D15" s="194" t="s">
        <v>955</v>
      </c>
      <c r="E15" s="198" t="s">
        <v>260</v>
      </c>
      <c r="F15" s="199" t="s">
        <v>87</v>
      </c>
      <c r="G15" s="203" t="s">
        <v>185</v>
      </c>
      <c r="H15" s="199" t="s">
        <v>223</v>
      </c>
      <c r="I15" s="199" t="s">
        <v>963</v>
      </c>
      <c r="J15" s="201">
        <v>2404905</v>
      </c>
      <c r="K15" s="201">
        <v>253950</v>
      </c>
    </row>
    <row r="16" spans="1:11" ht="22.5">
      <c r="A16" s="197"/>
      <c r="B16" s="195" t="s">
        <v>27</v>
      </c>
      <c r="C16" s="195" t="s">
        <v>632</v>
      </c>
      <c r="D16" s="194" t="s">
        <v>955</v>
      </c>
      <c r="E16" s="198" t="s">
        <v>633</v>
      </c>
      <c r="F16" s="199" t="s">
        <v>103</v>
      </c>
      <c r="G16" s="203" t="s">
        <v>211</v>
      </c>
      <c r="H16" s="199" t="s">
        <v>635</v>
      </c>
      <c r="I16" s="199" t="s">
        <v>132</v>
      </c>
      <c r="J16" s="201">
        <v>3500000</v>
      </c>
      <c r="K16" s="201">
        <v>3500000</v>
      </c>
    </row>
    <row r="17" spans="1:11" ht="22.5">
      <c r="A17" s="194">
        <v>40004931</v>
      </c>
      <c r="B17" s="195" t="s">
        <v>27</v>
      </c>
      <c r="C17" s="195" t="s">
        <v>971</v>
      </c>
      <c r="D17" s="194" t="s">
        <v>972</v>
      </c>
      <c r="E17" s="198" t="s">
        <v>973</v>
      </c>
      <c r="F17" s="199" t="s">
        <v>103</v>
      </c>
      <c r="G17" s="203" t="s">
        <v>134</v>
      </c>
      <c r="H17" s="199" t="s">
        <v>330</v>
      </c>
      <c r="I17" s="199" t="s">
        <v>132</v>
      </c>
      <c r="J17" s="201">
        <v>566228</v>
      </c>
      <c r="K17" s="201">
        <v>41572</v>
      </c>
    </row>
    <row r="18" spans="1:11" ht="33.75">
      <c r="A18" s="194">
        <v>40008020</v>
      </c>
      <c r="B18" s="195" t="s">
        <v>27</v>
      </c>
      <c r="C18" s="195" t="s">
        <v>974</v>
      </c>
      <c r="D18" s="194" t="s">
        <v>972</v>
      </c>
      <c r="E18" s="198" t="s">
        <v>975</v>
      </c>
      <c r="F18" s="199" t="s">
        <v>103</v>
      </c>
      <c r="G18" s="203" t="s">
        <v>185</v>
      </c>
      <c r="H18" s="199" t="s">
        <v>976</v>
      </c>
      <c r="I18" s="199" t="s">
        <v>132</v>
      </c>
      <c r="J18" s="201">
        <v>4020000</v>
      </c>
      <c r="K18" s="201">
        <v>789061</v>
      </c>
    </row>
    <row r="19" spans="1:11" ht="22.5">
      <c r="A19" s="194">
        <v>40010437</v>
      </c>
      <c r="B19" s="195" t="s">
        <v>27</v>
      </c>
      <c r="C19" s="195" t="s">
        <v>977</v>
      </c>
      <c r="D19" s="194" t="s">
        <v>972</v>
      </c>
      <c r="E19" s="198" t="s">
        <v>978</v>
      </c>
      <c r="F19" s="199" t="s">
        <v>103</v>
      </c>
      <c r="G19" s="203" t="s">
        <v>337</v>
      </c>
      <c r="H19" s="199" t="s">
        <v>979</v>
      </c>
      <c r="I19" s="199" t="s">
        <v>132</v>
      </c>
      <c r="J19" s="201">
        <v>2547662</v>
      </c>
      <c r="K19" s="201">
        <v>115487</v>
      </c>
    </row>
    <row r="20" spans="1:11" ht="22.5">
      <c r="A20" s="194">
        <v>40006127</v>
      </c>
      <c r="B20" s="195" t="s">
        <v>27</v>
      </c>
      <c r="C20" s="195" t="s">
        <v>980</v>
      </c>
      <c r="D20" s="194" t="s">
        <v>972</v>
      </c>
      <c r="E20" s="198" t="s">
        <v>981</v>
      </c>
      <c r="F20" s="199" t="s">
        <v>103</v>
      </c>
      <c r="G20" s="203" t="s">
        <v>134</v>
      </c>
      <c r="H20" s="199" t="s">
        <v>982</v>
      </c>
      <c r="I20" s="199" t="s">
        <v>171</v>
      </c>
      <c r="J20" s="201">
        <v>940001</v>
      </c>
      <c r="K20" s="201">
        <v>131549</v>
      </c>
    </row>
    <row r="21" spans="1:11" ht="22.5">
      <c r="A21" s="194">
        <v>40019817</v>
      </c>
      <c r="B21" s="195" t="s">
        <v>27</v>
      </c>
      <c r="C21" s="195" t="s">
        <v>399</v>
      </c>
      <c r="D21" s="194" t="s">
        <v>972</v>
      </c>
      <c r="E21" s="198" t="s">
        <v>305</v>
      </c>
      <c r="F21" s="199" t="s">
        <v>103</v>
      </c>
      <c r="G21" s="203" t="s">
        <v>134</v>
      </c>
      <c r="H21" s="199" t="s">
        <v>307</v>
      </c>
      <c r="I21" s="199" t="s">
        <v>132</v>
      </c>
      <c r="J21" s="201">
        <v>3240000</v>
      </c>
      <c r="K21" s="201">
        <v>1200000</v>
      </c>
    </row>
    <row r="22" spans="1:11" ht="33.75">
      <c r="A22" s="194">
        <v>40014432</v>
      </c>
      <c r="B22" s="195" t="s">
        <v>27</v>
      </c>
      <c r="C22" s="195" t="s">
        <v>413</v>
      </c>
      <c r="D22" s="194" t="s">
        <v>972</v>
      </c>
      <c r="E22" s="198" t="s">
        <v>983</v>
      </c>
      <c r="F22" s="199" t="s">
        <v>103</v>
      </c>
      <c r="G22" s="203" t="s">
        <v>147</v>
      </c>
      <c r="H22" s="199" t="s">
        <v>984</v>
      </c>
      <c r="I22" s="199" t="s">
        <v>132</v>
      </c>
      <c r="J22" s="201">
        <v>3488542</v>
      </c>
      <c r="K22" s="201">
        <v>535287</v>
      </c>
    </row>
    <row r="23" spans="1:11" ht="22.5">
      <c r="A23" s="194">
        <v>40024788</v>
      </c>
      <c r="B23" s="195" t="s">
        <v>27</v>
      </c>
      <c r="C23" s="195" t="s">
        <v>415</v>
      </c>
      <c r="D23" s="194" t="s">
        <v>972</v>
      </c>
      <c r="E23" s="198" t="s">
        <v>985</v>
      </c>
      <c r="F23" s="199" t="s">
        <v>103</v>
      </c>
      <c r="G23" s="203" t="s">
        <v>134</v>
      </c>
      <c r="H23" s="199" t="s">
        <v>342</v>
      </c>
      <c r="I23" s="199" t="s">
        <v>132</v>
      </c>
      <c r="J23" s="201">
        <v>2009200</v>
      </c>
      <c r="K23" s="201">
        <v>800000</v>
      </c>
    </row>
    <row r="24" spans="1:11" ht="22.5">
      <c r="A24" s="194">
        <v>40009309</v>
      </c>
      <c r="B24" s="195" t="s">
        <v>27</v>
      </c>
      <c r="C24" s="195" t="s">
        <v>417</v>
      </c>
      <c r="D24" s="194" t="s">
        <v>972</v>
      </c>
      <c r="E24" s="198" t="s">
        <v>986</v>
      </c>
      <c r="F24" s="199" t="s">
        <v>103</v>
      </c>
      <c r="G24" s="203" t="s">
        <v>310</v>
      </c>
      <c r="H24" s="199" t="s">
        <v>311</v>
      </c>
      <c r="I24" s="199" t="s">
        <v>963</v>
      </c>
      <c r="J24" s="201">
        <v>1000000</v>
      </c>
      <c r="K24" s="201">
        <v>500000</v>
      </c>
    </row>
    <row r="25" spans="1:11" ht="22.5">
      <c r="A25" s="194">
        <v>40024839</v>
      </c>
      <c r="B25" s="195" t="s">
        <v>27</v>
      </c>
      <c r="C25" s="195" t="s">
        <v>423</v>
      </c>
      <c r="D25" s="194" t="s">
        <v>972</v>
      </c>
      <c r="E25" s="198" t="s">
        <v>987</v>
      </c>
      <c r="F25" s="199" t="s">
        <v>103</v>
      </c>
      <c r="G25" s="203" t="s">
        <v>404</v>
      </c>
      <c r="H25" s="199" t="s">
        <v>348</v>
      </c>
      <c r="I25" s="199" t="s">
        <v>963</v>
      </c>
      <c r="J25" s="201">
        <v>349800</v>
      </c>
      <c r="K25" s="201">
        <v>250000</v>
      </c>
    </row>
    <row r="26" spans="1:11" ht="22.5">
      <c r="A26" s="194">
        <v>40000006</v>
      </c>
      <c r="B26" s="195" t="s">
        <v>27</v>
      </c>
      <c r="C26" s="195" t="s">
        <v>988</v>
      </c>
      <c r="D26" s="194" t="s">
        <v>972</v>
      </c>
      <c r="E26" s="198" t="s">
        <v>989</v>
      </c>
      <c r="F26" s="199" t="s">
        <v>103</v>
      </c>
      <c r="G26" s="203" t="s">
        <v>310</v>
      </c>
      <c r="H26" s="199" t="s">
        <v>990</v>
      </c>
      <c r="I26" s="199" t="s">
        <v>132</v>
      </c>
      <c r="J26" s="201">
        <v>853400</v>
      </c>
      <c r="K26" s="201">
        <v>246093</v>
      </c>
    </row>
    <row r="27" spans="1:11" ht="45">
      <c r="A27" s="194">
        <v>30118718</v>
      </c>
      <c r="B27" s="195" t="s">
        <v>27</v>
      </c>
      <c r="C27" s="195" t="s">
        <v>991</v>
      </c>
      <c r="D27" s="194" t="s">
        <v>972</v>
      </c>
      <c r="E27" s="198" t="s">
        <v>297</v>
      </c>
      <c r="F27" s="199" t="s">
        <v>103</v>
      </c>
      <c r="G27" s="203" t="s">
        <v>134</v>
      </c>
      <c r="H27" s="199" t="s">
        <v>298</v>
      </c>
      <c r="I27" s="199" t="s">
        <v>132</v>
      </c>
      <c r="J27" s="201">
        <v>2371702</v>
      </c>
      <c r="K27" s="201">
        <v>889389</v>
      </c>
    </row>
    <row r="28" spans="1:11" ht="22.5">
      <c r="A28" s="194">
        <v>40010799</v>
      </c>
      <c r="B28" s="195" t="s">
        <v>27</v>
      </c>
      <c r="C28" s="195" t="s">
        <v>992</v>
      </c>
      <c r="D28" s="194" t="s">
        <v>972</v>
      </c>
      <c r="E28" s="198" t="s">
        <v>993</v>
      </c>
      <c r="F28" s="199" t="s">
        <v>103</v>
      </c>
      <c r="G28" s="203" t="s">
        <v>134</v>
      </c>
      <c r="H28" s="199" t="s">
        <v>307</v>
      </c>
      <c r="I28" s="199" t="s">
        <v>132</v>
      </c>
      <c r="J28" s="201">
        <v>3000000</v>
      </c>
      <c r="K28" s="201">
        <v>191000</v>
      </c>
    </row>
    <row r="29" spans="1:11" ht="45">
      <c r="A29" s="194">
        <v>40010406</v>
      </c>
      <c r="B29" s="195" t="s">
        <v>27</v>
      </c>
      <c r="C29" s="195" t="s">
        <v>994</v>
      </c>
      <c r="D29" s="194" t="s">
        <v>972</v>
      </c>
      <c r="E29" s="198" t="s">
        <v>995</v>
      </c>
      <c r="F29" s="199" t="s">
        <v>103</v>
      </c>
      <c r="G29" s="203" t="s">
        <v>276</v>
      </c>
      <c r="H29" s="199" t="s">
        <v>335</v>
      </c>
      <c r="I29" s="199" t="s">
        <v>132</v>
      </c>
      <c r="J29" s="201">
        <v>763622.88</v>
      </c>
      <c r="K29" s="201">
        <v>378297</v>
      </c>
    </row>
    <row r="30" spans="1:11" ht="22.5">
      <c r="A30" s="194">
        <v>40009228</v>
      </c>
      <c r="B30" s="195" t="s">
        <v>27</v>
      </c>
      <c r="C30" s="195" t="s">
        <v>390</v>
      </c>
      <c r="D30" s="194" t="s">
        <v>972</v>
      </c>
      <c r="E30" s="198" t="s">
        <v>996</v>
      </c>
      <c r="F30" s="199" t="s">
        <v>103</v>
      </c>
      <c r="G30" s="203" t="s">
        <v>134</v>
      </c>
      <c r="H30" s="199" t="s">
        <v>997</v>
      </c>
      <c r="I30" s="199" t="s">
        <v>132</v>
      </c>
      <c r="J30" s="201">
        <v>1600001</v>
      </c>
      <c r="K30" s="201">
        <v>498822</v>
      </c>
    </row>
    <row r="31" spans="1:11" ht="22.5">
      <c r="A31" s="194">
        <v>40009951</v>
      </c>
      <c r="B31" s="195" t="s">
        <v>27</v>
      </c>
      <c r="C31" s="195" t="s">
        <v>393</v>
      </c>
      <c r="D31" s="194" t="s">
        <v>972</v>
      </c>
      <c r="E31" s="198" t="s">
        <v>998</v>
      </c>
      <c r="F31" s="199" t="s">
        <v>103</v>
      </c>
      <c r="G31" s="203" t="s">
        <v>134</v>
      </c>
      <c r="H31" s="199" t="s">
        <v>307</v>
      </c>
      <c r="I31" s="199" t="s">
        <v>132</v>
      </c>
      <c r="J31" s="201">
        <v>225719</v>
      </c>
      <c r="K31" s="201">
        <v>124013</v>
      </c>
    </row>
    <row r="32" spans="1:11" ht="22.5">
      <c r="A32" s="194">
        <v>40010558</v>
      </c>
      <c r="B32" s="195" t="s">
        <v>27</v>
      </c>
      <c r="C32" s="195" t="s">
        <v>402</v>
      </c>
      <c r="D32" s="194" t="s">
        <v>972</v>
      </c>
      <c r="E32" s="198" t="s">
        <v>999</v>
      </c>
      <c r="F32" s="199" t="s">
        <v>103</v>
      </c>
      <c r="G32" s="203" t="s">
        <v>134</v>
      </c>
      <c r="H32" s="199" t="s">
        <v>1000</v>
      </c>
      <c r="I32" s="199" t="s">
        <v>1001</v>
      </c>
      <c r="J32" s="201">
        <v>372780</v>
      </c>
      <c r="K32" s="201">
        <v>80000</v>
      </c>
    </row>
    <row r="33" spans="1:11" ht="22.5">
      <c r="A33" s="194">
        <v>40024825</v>
      </c>
      <c r="B33" s="195" t="s">
        <v>27</v>
      </c>
      <c r="C33" s="195" t="s">
        <v>405</v>
      </c>
      <c r="D33" s="194" t="s">
        <v>972</v>
      </c>
      <c r="E33" s="198" t="s">
        <v>1002</v>
      </c>
      <c r="F33" s="199" t="s">
        <v>103</v>
      </c>
      <c r="G33" s="203" t="s">
        <v>134</v>
      </c>
      <c r="H33" s="199" t="s">
        <v>342</v>
      </c>
      <c r="I33" s="199" t="s">
        <v>132</v>
      </c>
      <c r="J33" s="201">
        <v>1267240</v>
      </c>
      <c r="K33" s="201">
        <v>636159</v>
      </c>
    </row>
    <row r="34" spans="1:11" ht="22.5">
      <c r="A34" s="194">
        <v>40014531</v>
      </c>
      <c r="B34" s="195" t="s">
        <v>27</v>
      </c>
      <c r="C34" s="195" t="s">
        <v>407</v>
      </c>
      <c r="D34" s="194" t="s">
        <v>972</v>
      </c>
      <c r="E34" s="198" t="s">
        <v>1003</v>
      </c>
      <c r="F34" s="199" t="s">
        <v>103</v>
      </c>
      <c r="G34" s="203" t="s">
        <v>134</v>
      </c>
      <c r="H34" s="199" t="s">
        <v>328</v>
      </c>
      <c r="I34" s="199" t="s">
        <v>1001</v>
      </c>
      <c r="J34" s="201">
        <v>300000</v>
      </c>
      <c r="K34" s="201">
        <v>150000</v>
      </c>
    </row>
    <row r="35" spans="1:11" ht="22.5">
      <c r="A35" s="194">
        <v>40014719</v>
      </c>
      <c r="B35" s="195" t="s">
        <v>27</v>
      </c>
      <c r="C35" s="195" t="s">
        <v>409</v>
      </c>
      <c r="D35" s="194" t="s">
        <v>972</v>
      </c>
      <c r="E35" s="198" t="s">
        <v>1004</v>
      </c>
      <c r="F35" s="199" t="s">
        <v>103</v>
      </c>
      <c r="G35" s="203" t="s">
        <v>404</v>
      </c>
      <c r="H35" s="199" t="s">
        <v>348</v>
      </c>
      <c r="I35" s="199" t="s">
        <v>1001</v>
      </c>
      <c r="J35" s="201">
        <v>400000</v>
      </c>
      <c r="K35" s="201">
        <v>255000</v>
      </c>
    </row>
    <row r="36" spans="1:11" ht="22.5">
      <c r="A36" s="194">
        <v>40014500</v>
      </c>
      <c r="B36" s="195" t="s">
        <v>27</v>
      </c>
      <c r="C36" s="195" t="s">
        <v>411</v>
      </c>
      <c r="D36" s="194" t="s">
        <v>972</v>
      </c>
      <c r="E36" s="198" t="s">
        <v>1005</v>
      </c>
      <c r="F36" s="199" t="s">
        <v>103</v>
      </c>
      <c r="G36" s="203" t="s">
        <v>337</v>
      </c>
      <c r="H36" s="199" t="s">
        <v>1006</v>
      </c>
      <c r="I36" s="199" t="s">
        <v>963</v>
      </c>
      <c r="J36" s="201">
        <v>500000</v>
      </c>
      <c r="K36" s="201">
        <v>125000</v>
      </c>
    </row>
    <row r="37" spans="1:11" ht="22.5">
      <c r="A37" s="194">
        <v>40026857</v>
      </c>
      <c r="B37" s="195" t="s">
        <v>27</v>
      </c>
      <c r="C37" s="195" t="s">
        <v>1007</v>
      </c>
      <c r="D37" s="194" t="s">
        <v>972</v>
      </c>
      <c r="E37" s="198" t="s">
        <v>1008</v>
      </c>
      <c r="F37" s="199" t="s">
        <v>103</v>
      </c>
      <c r="G37" s="203" t="s">
        <v>134</v>
      </c>
      <c r="H37" s="199" t="s">
        <v>307</v>
      </c>
      <c r="I37" s="199" t="s">
        <v>963</v>
      </c>
      <c r="J37" s="201">
        <v>250000</v>
      </c>
      <c r="K37" s="201">
        <v>227000</v>
      </c>
    </row>
    <row r="38" spans="1:11" ht="22.5">
      <c r="A38" s="194">
        <v>30436632</v>
      </c>
      <c r="B38" s="195" t="s">
        <v>27</v>
      </c>
      <c r="C38" s="195" t="s">
        <v>1009</v>
      </c>
      <c r="D38" s="194" t="s">
        <v>972</v>
      </c>
      <c r="E38" s="198" t="s">
        <v>1010</v>
      </c>
      <c r="F38" s="199" t="s">
        <v>103</v>
      </c>
      <c r="G38" s="203" t="s">
        <v>404</v>
      </c>
      <c r="H38" s="203" t="s">
        <v>1011</v>
      </c>
      <c r="I38" s="199" t="s">
        <v>132</v>
      </c>
      <c r="J38" s="201">
        <v>60000</v>
      </c>
      <c r="K38" s="201">
        <v>2129</v>
      </c>
    </row>
    <row r="39" spans="1:11" ht="22.5">
      <c r="A39" s="194">
        <v>40001628</v>
      </c>
      <c r="B39" s="195" t="s">
        <v>27</v>
      </c>
      <c r="C39" s="195" t="s">
        <v>1012</v>
      </c>
      <c r="D39" s="194" t="s">
        <v>972</v>
      </c>
      <c r="E39" s="198" t="s">
        <v>1013</v>
      </c>
      <c r="F39" s="199" t="s">
        <v>103</v>
      </c>
      <c r="G39" s="203" t="s">
        <v>134</v>
      </c>
      <c r="H39" s="199" t="s">
        <v>307</v>
      </c>
      <c r="I39" s="199" t="s">
        <v>132</v>
      </c>
      <c r="J39" s="201">
        <v>600000</v>
      </c>
      <c r="K39" s="201">
        <v>1001</v>
      </c>
    </row>
    <row r="40" spans="1:11" ht="22.5">
      <c r="A40" s="194">
        <v>40014358</v>
      </c>
      <c r="B40" s="195" t="s">
        <v>27</v>
      </c>
      <c r="C40" s="195" t="s">
        <v>636</v>
      </c>
      <c r="D40" s="194" t="s">
        <v>972</v>
      </c>
      <c r="E40" s="198" t="s">
        <v>637</v>
      </c>
      <c r="F40" s="199" t="s">
        <v>103</v>
      </c>
      <c r="G40" s="203" t="s">
        <v>404</v>
      </c>
      <c r="H40" s="199" t="s">
        <v>321</v>
      </c>
      <c r="I40" s="199" t="s">
        <v>132</v>
      </c>
      <c r="J40" s="201">
        <v>69526</v>
      </c>
      <c r="K40" s="201">
        <v>7001</v>
      </c>
    </row>
    <row r="41" spans="1:11" ht="22.5">
      <c r="A41" s="194">
        <v>40014269</v>
      </c>
      <c r="B41" s="195" t="s">
        <v>27</v>
      </c>
      <c r="C41" s="195" t="s">
        <v>1014</v>
      </c>
      <c r="D41" s="194" t="s">
        <v>972</v>
      </c>
      <c r="E41" s="198" t="s">
        <v>299</v>
      </c>
      <c r="F41" s="199" t="s">
        <v>103</v>
      </c>
      <c r="G41" s="203" t="s">
        <v>185</v>
      </c>
      <c r="H41" s="199" t="s">
        <v>301</v>
      </c>
      <c r="I41" s="199" t="s">
        <v>132</v>
      </c>
      <c r="J41" s="201">
        <v>135000</v>
      </c>
      <c r="K41" s="201">
        <v>9100</v>
      </c>
    </row>
    <row r="42" spans="1:11" ht="45">
      <c r="A42" s="194">
        <v>40014467</v>
      </c>
      <c r="B42" s="195" t="s">
        <v>27</v>
      </c>
      <c r="C42" s="195" t="s">
        <v>1015</v>
      </c>
      <c r="D42" s="194" t="s">
        <v>972</v>
      </c>
      <c r="E42" s="198" t="s">
        <v>1016</v>
      </c>
      <c r="F42" s="199" t="s">
        <v>103</v>
      </c>
      <c r="G42" s="203" t="s">
        <v>276</v>
      </c>
      <c r="H42" s="199" t="s">
        <v>301</v>
      </c>
      <c r="I42" s="199" t="s">
        <v>132</v>
      </c>
      <c r="J42" s="201">
        <v>118776</v>
      </c>
      <c r="K42" s="201">
        <v>20800</v>
      </c>
    </row>
    <row r="43" spans="1:11" ht="22.5">
      <c r="A43" s="194">
        <v>40014502</v>
      </c>
      <c r="B43" s="195" t="s">
        <v>27</v>
      </c>
      <c r="C43" s="195" t="s">
        <v>1017</v>
      </c>
      <c r="D43" s="194" t="s">
        <v>972</v>
      </c>
      <c r="E43" s="198" t="s">
        <v>1018</v>
      </c>
      <c r="F43" s="199" t="s">
        <v>103</v>
      </c>
      <c r="G43" s="203" t="s">
        <v>185</v>
      </c>
      <c r="H43" s="199" t="s">
        <v>301</v>
      </c>
      <c r="I43" s="199" t="s">
        <v>132</v>
      </c>
      <c r="J43" s="201">
        <v>134985</v>
      </c>
      <c r="K43" s="201">
        <v>12810</v>
      </c>
    </row>
    <row r="44" spans="1:11" ht="22.5">
      <c r="A44" s="194">
        <v>40014503</v>
      </c>
      <c r="B44" s="195" t="s">
        <v>27</v>
      </c>
      <c r="C44" s="195" t="s">
        <v>1019</v>
      </c>
      <c r="D44" s="194" t="s">
        <v>972</v>
      </c>
      <c r="E44" s="198" t="s">
        <v>1020</v>
      </c>
      <c r="F44" s="199" t="s">
        <v>103</v>
      </c>
      <c r="G44" s="203" t="s">
        <v>134</v>
      </c>
      <c r="H44" s="199" t="s">
        <v>301</v>
      </c>
      <c r="I44" s="199" t="s">
        <v>132</v>
      </c>
      <c r="J44" s="201">
        <v>106960</v>
      </c>
      <c r="K44" s="201">
        <v>17347</v>
      </c>
    </row>
    <row r="45" spans="1:11" ht="22.5">
      <c r="A45" s="194">
        <v>40029266</v>
      </c>
      <c r="B45" s="195" t="s">
        <v>27</v>
      </c>
      <c r="C45" s="195" t="s">
        <v>420</v>
      </c>
      <c r="D45" s="194" t="s">
        <v>972</v>
      </c>
      <c r="E45" s="198" t="s">
        <v>312</v>
      </c>
      <c r="F45" s="199" t="s">
        <v>103</v>
      </c>
      <c r="G45" s="203" t="s">
        <v>134</v>
      </c>
      <c r="H45" s="199" t="s">
        <v>307</v>
      </c>
      <c r="I45" s="199" t="s">
        <v>963</v>
      </c>
      <c r="J45" s="201">
        <v>2800000</v>
      </c>
      <c r="K45" s="201">
        <v>900000</v>
      </c>
    </row>
    <row r="46" spans="1:11">
      <c r="A46" s="194" t="s">
        <v>211</v>
      </c>
      <c r="B46" s="195" t="s">
        <v>27</v>
      </c>
      <c r="C46" s="195"/>
      <c r="D46" s="194" t="s">
        <v>211</v>
      </c>
      <c r="E46" s="204" t="s">
        <v>1021</v>
      </c>
      <c r="F46" s="194" t="s">
        <v>103</v>
      </c>
      <c r="G46" s="205" t="s">
        <v>211</v>
      </c>
      <c r="H46" s="194" t="s">
        <v>211</v>
      </c>
      <c r="I46" s="194" t="s">
        <v>1022</v>
      </c>
      <c r="J46" s="201">
        <v>2791338</v>
      </c>
      <c r="K46" s="201">
        <v>2791338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FEAB55AFB5840AE947609F2642D3B" ma:contentTypeVersion="14" ma:contentTypeDescription="Crear nuevo documento." ma:contentTypeScope="" ma:versionID="a0ebc94f9503e52ca3d6559456767908">
  <xsd:schema xmlns:xsd="http://www.w3.org/2001/XMLSchema" xmlns:xs="http://www.w3.org/2001/XMLSchema" xmlns:p="http://schemas.microsoft.com/office/2006/metadata/properties" xmlns:ns2="1ea1518e-ef11-48d5-b358-c8520584f932" xmlns:ns3="bbbc94a7-4c97-4545-81ad-31eaee27b446" targetNamespace="http://schemas.microsoft.com/office/2006/metadata/properties" ma:root="true" ma:fieldsID="3f4f88da8214640111ed50d077a59628" ns2:_="" ns3:_="">
    <xsd:import namespace="1ea1518e-ef11-48d5-b358-c8520584f932"/>
    <xsd:import namespace="bbbc94a7-4c97-4545-81ad-31eaee27b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1518e-ef11-48d5-b358-c8520584f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03e33ec-d9a9-4166-b840-b2981103c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94a7-4c97-4545-81ad-31eaee27b4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6acee6-def8-4c6b-b5f1-f20aed6d393e}" ma:internalName="TaxCatchAll" ma:showField="CatchAllData" ma:web="bbbc94a7-4c97-4545-81ad-31eaee27b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a1518e-ef11-48d5-b358-c8520584f932">
      <Terms xmlns="http://schemas.microsoft.com/office/infopath/2007/PartnerControls"/>
    </lcf76f155ced4ddcb4097134ff3c332f>
    <TaxCatchAll xmlns="bbbc94a7-4c97-4545-81ad-31eaee27b446" xsi:nil="true"/>
  </documentManagement>
</p:properties>
</file>

<file path=customXml/itemProps1.xml><?xml version="1.0" encoding="utf-8"?>
<ds:datastoreItem xmlns:ds="http://schemas.openxmlformats.org/officeDocument/2006/customXml" ds:itemID="{2FE93084-CD69-44A2-8302-1E34C99E6B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59AFBF-B4E3-4F48-9CE4-6F2372A3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1518e-ef11-48d5-b358-c8520584f932"/>
    <ds:schemaRef ds:uri="bbbc94a7-4c97-4545-81ad-31eaee27b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8C4B4E-C4BB-4C8C-AB18-345980158AF4}">
  <ds:schemaRefs>
    <ds:schemaRef ds:uri="http://schemas.microsoft.com/office/2006/metadata/properties"/>
    <ds:schemaRef ds:uri="http://schemas.microsoft.com/office/infopath/2007/PartnerControls"/>
    <ds:schemaRef ds:uri="1ea1518e-ef11-48d5-b358-c8520584f932"/>
    <ds:schemaRef ds:uri="bbbc94a7-4c97-4545-81ad-31eaee27b44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2025 RESUMEN</vt:lpstr>
      <vt:lpstr>2025 FNDR</vt:lpstr>
      <vt:lpstr>FRIL 2025</vt:lpstr>
      <vt:lpstr>Hoja1</vt:lpstr>
      <vt:lpstr>Hoja5</vt:lpstr>
      <vt:lpstr>'2025 FNDR'!Área_de_impresión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Alcayaga Volta</dc:creator>
  <cp:keywords/>
  <dc:description/>
  <cp:lastModifiedBy>Guillermo González Bilbao</cp:lastModifiedBy>
  <cp:revision/>
  <dcterms:created xsi:type="dcterms:W3CDTF">2018-06-12T14:08:26Z</dcterms:created>
  <dcterms:modified xsi:type="dcterms:W3CDTF">2025-07-28T16:14:32Z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0x010100656FEAB55AFB5840AE947609F2642D3B</vt:lpwstr>
  </property>
  <property fmtid="{D5CDD505-2E9C-101B-9397-08002B2CF9AE}" pid="3" name="MediaServiceImageTags">
    <vt:lpwstr/>
  </property>
</Properties>
</file>